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DE0A2356-9760-4FBA-985B-2CD465CD9472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_NUC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SPS1_NUC_High!$A$1:$L$2340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F2323" i="1" a="1"/>
  <c r="F2323" i="1" s="1"/>
  <c r="F2322" i="1" s="1" a="1"/>
  <c r="F2322" i="1" s="1"/>
  <c r="G2322" i="1" a="1"/>
  <c r="G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G786" i="1" s="1"/>
  <c r="G787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G283" i="1" s="1"/>
  <c r="F284" i="1" a="1"/>
  <c r="F284" i="1" s="1"/>
  <c r="F283" i="1" s="1"/>
  <c r="I275" i="1" a="1"/>
  <c r="I275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G170" i="1"/>
  <c r="G398" i="1" s="1"/>
  <c r="G439" i="1" s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I384" i="1" s="1"/>
  <c r="I515" i="1" s="1"/>
  <c r="H156" i="1"/>
  <c r="G156" i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G133" i="1"/>
  <c r="F133" i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H128" i="1"/>
  <c r="I97" i="1"/>
  <c r="I129" i="1" s="1"/>
  <c r="H97" i="1"/>
  <c r="H129" i="1" s="1"/>
  <c r="G97" i="1"/>
  <c r="G129" i="1" s="1"/>
  <c r="F97" i="1"/>
  <c r="F129" i="1" s="1"/>
  <c r="I96" i="1"/>
  <c r="H96" i="1"/>
  <c r="G96" i="1"/>
  <c r="F96" i="1"/>
  <c r="F128" i="1" s="1"/>
  <c r="I95" i="1"/>
  <c r="H95" i="1"/>
  <c r="G95" i="1"/>
  <c r="F95" i="1"/>
  <c r="I94" i="1"/>
  <c r="H94" i="1"/>
  <c r="G94" i="1"/>
  <c r="G126" i="1" s="1"/>
  <c r="F94" i="1"/>
  <c r="I93" i="1"/>
  <c r="I125" i="1" s="1"/>
  <c r="H93" i="1"/>
  <c r="H125" i="1" s="1"/>
  <c r="G93" i="1"/>
  <c r="G125" i="1" s="1"/>
  <c r="F93" i="1"/>
  <c r="F125" i="1" s="1"/>
  <c r="I92" i="1"/>
  <c r="I124" i="1" s="1"/>
  <c r="H92" i="1"/>
  <c r="H124" i="1" s="1"/>
  <c r="G92" i="1"/>
  <c r="G124" i="1" s="1"/>
  <c r="F92" i="1"/>
  <c r="F124" i="1" s="1"/>
  <c r="I91" i="1"/>
  <c r="I123" i="1" s="1"/>
  <c r="H91" i="1"/>
  <c r="H123" i="1" s="1"/>
  <c r="G91" i="1"/>
  <c r="G123" i="1" s="1"/>
  <c r="F91" i="1"/>
  <c r="F123" i="1" s="1"/>
  <c r="I90" i="1"/>
  <c r="I122" i="1" s="1"/>
  <c r="H90" i="1"/>
  <c r="G90" i="1"/>
  <c r="F90" i="1"/>
  <c r="I89" i="1"/>
  <c r="H89" i="1"/>
  <c r="G89" i="1"/>
  <c r="G121" i="1" s="1"/>
  <c r="F89" i="1"/>
  <c r="I88" i="1"/>
  <c r="I120" i="1" s="1"/>
  <c r="H88" i="1"/>
  <c r="H120" i="1" s="1"/>
  <c r="G88" i="1"/>
  <c r="G120" i="1" s="1"/>
  <c r="F88" i="1"/>
  <c r="F120" i="1" s="1"/>
  <c r="I87" i="1"/>
  <c r="I119" i="1" s="1"/>
  <c r="H87" i="1"/>
  <c r="H119" i="1" s="1"/>
  <c r="G87" i="1"/>
  <c r="G119" i="1" s="1"/>
  <c r="F87" i="1"/>
  <c r="F119" i="1" s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24" i="1" l="1"/>
  <c r="I479" i="1" s="1"/>
  <c r="F385" i="1"/>
  <c r="F516" i="1" s="1"/>
  <c r="I319" i="1"/>
  <c r="H319" i="1"/>
  <c r="G319" i="1"/>
  <c r="F319" i="1"/>
  <c r="H742" i="1" a="1"/>
  <c r="H742" i="1" s="1"/>
  <c r="H744" i="1" s="1" a="1"/>
  <c r="H744" i="1" s="1"/>
  <c r="G317" i="1"/>
  <c r="G472" i="1" s="1"/>
  <c r="G322" i="1"/>
  <c r="G477" i="1" s="1"/>
  <c r="G382" i="1"/>
  <c r="G513" i="1" s="1"/>
  <c r="H300" i="1"/>
  <c r="H413" i="1" s="1"/>
  <c r="H317" i="1"/>
  <c r="H472" i="1" s="1"/>
  <c r="H322" i="1"/>
  <c r="H477" i="1" s="1"/>
  <c r="I323" i="1"/>
  <c r="I478" i="1" s="1"/>
  <c r="F400" i="1"/>
  <c r="F520" i="1" s="1"/>
  <c r="I400" i="1"/>
  <c r="I520" i="1" s="1"/>
  <c r="G324" i="1"/>
  <c r="G479" i="1" s="1"/>
  <c r="G325" i="1"/>
  <c r="G480" i="1" s="1"/>
  <c r="F325" i="1"/>
  <c r="F480" i="1" s="1"/>
  <c r="G315" i="1"/>
  <c r="G420" i="1" s="1"/>
  <c r="I320" i="1"/>
  <c r="I475" i="1" s="1"/>
  <c r="H363" i="1"/>
  <c r="H504" i="1" s="1"/>
  <c r="F383" i="1"/>
  <c r="F514" i="1" s="1"/>
  <c r="G380" i="1"/>
  <c r="G437" i="1" s="1"/>
  <c r="G399" i="1"/>
  <c r="G519" i="1" s="1"/>
  <c r="H380" i="1"/>
  <c r="H437" i="1" s="1"/>
  <c r="H324" i="1"/>
  <c r="H479" i="1" s="1"/>
  <c r="I380" i="1"/>
  <c r="I437" i="1" s="1"/>
  <c r="I385" i="1"/>
  <c r="I516" i="1" s="1"/>
  <c r="I399" i="1"/>
  <c r="I519" i="1" s="1"/>
  <c r="G386" i="1"/>
  <c r="G517" i="1" s="1"/>
  <c r="G400" i="1"/>
  <c r="G520" i="1" s="1"/>
  <c r="H400" i="1"/>
  <c r="H520" i="1" s="1"/>
  <c r="G383" i="1"/>
  <c r="G514" i="1" s="1"/>
  <c r="H320" i="1"/>
  <c r="H475" i="1" s="1"/>
  <c r="H325" i="1"/>
  <c r="H480" i="1" s="1"/>
  <c r="H315" i="1"/>
  <c r="H420" i="1" s="1"/>
  <c r="I903" i="1"/>
  <c r="G300" i="1"/>
  <c r="G413" i="1" s="1"/>
  <c r="F382" i="1"/>
  <c r="F513" i="1" s="1"/>
  <c r="H301" i="1"/>
  <c r="H465" i="1" s="1"/>
  <c r="H318" i="1"/>
  <c r="H473" i="1" s="1"/>
  <c r="H323" i="1"/>
  <c r="H478" i="1" s="1"/>
  <c r="G361" i="1"/>
  <c r="G428" i="1" s="1"/>
  <c r="F399" i="1"/>
  <c r="F519" i="1" s="1"/>
  <c r="G903" i="1"/>
  <c r="G925" i="1"/>
  <c r="G924" i="1" s="1"/>
  <c r="H903" i="1"/>
  <c r="H899" i="1"/>
  <c r="I925" i="1"/>
  <c r="I924" i="1" s="1"/>
  <c r="F364" i="1"/>
  <c r="I300" i="1"/>
  <c r="I413" i="1" s="1"/>
  <c r="I317" i="1"/>
  <c r="I472" i="1" s="1"/>
  <c r="I325" i="1"/>
  <c r="I480" i="1" s="1"/>
  <c r="G902" i="1"/>
  <c r="G128" i="1"/>
  <c r="F380" i="1"/>
  <c r="F437" i="1" s="1"/>
  <c r="I322" i="1"/>
  <c r="I477" i="1" s="1"/>
  <c r="G385" i="1"/>
  <c r="G516" i="1" s="1"/>
  <c r="F301" i="1"/>
  <c r="F465" i="1" s="1"/>
  <c r="F318" i="1"/>
  <c r="F473" i="1" s="1"/>
  <c r="F323" i="1"/>
  <c r="F478" i="1" s="1"/>
  <c r="H386" i="1"/>
  <c r="H517" i="1" s="1"/>
  <c r="H385" i="1"/>
  <c r="H516" i="1" s="1"/>
  <c r="G301" i="1"/>
  <c r="G465" i="1" s="1"/>
  <c r="G318" i="1"/>
  <c r="G473" i="1" s="1"/>
  <c r="G323" i="1"/>
  <c r="G478" i="1" s="1"/>
  <c r="I902" i="1"/>
  <c r="I301" i="1"/>
  <c r="I465" i="1" s="1"/>
  <c r="I382" i="1"/>
  <c r="I513" i="1" s="1"/>
  <c r="F241" i="1"/>
  <c r="F316" i="1" s="1"/>
  <c r="F471" i="1" s="1"/>
  <c r="G140" i="1" a="1"/>
  <c r="G140" i="1" s="1"/>
  <c r="I315" i="1"/>
  <c r="I420" i="1" s="1"/>
  <c r="G384" i="1"/>
  <c r="G515" i="1" s="1"/>
  <c r="F398" i="1"/>
  <c r="F439" i="1" s="1"/>
  <c r="H361" i="1"/>
  <c r="H428" i="1" s="1"/>
  <c r="I318" i="1"/>
  <c r="I473" i="1" s="1"/>
  <c r="H384" i="1"/>
  <c r="H515" i="1" s="1"/>
  <c r="H398" i="1"/>
  <c r="H439" i="1" s="1"/>
  <c r="G320" i="1"/>
  <c r="G475" i="1" s="1"/>
  <c r="F321" i="1"/>
  <c r="F476" i="1" s="1"/>
  <c r="I128" i="1"/>
  <c r="H399" i="1"/>
  <c r="H519" i="1" s="1"/>
  <c r="G321" i="1"/>
  <c r="G476" i="1" s="1"/>
  <c r="F300" i="1"/>
  <c r="F413" i="1" s="1"/>
  <c r="F317" i="1"/>
  <c r="F472" i="1" s="1"/>
  <c r="F322" i="1"/>
  <c r="F477" i="1" s="1"/>
  <c r="F386" i="1"/>
  <c r="F517" i="1" s="1"/>
  <c r="F786" i="1"/>
  <c r="F787" i="1" s="1"/>
  <c r="F783" i="1"/>
  <c r="F362" i="1"/>
  <c r="F429" i="1" s="1"/>
  <c r="F198" i="1"/>
  <c r="F361" i="1" s="1"/>
  <c r="F428" i="1" s="1"/>
  <c r="G726" i="1" a="1"/>
  <c r="G726" i="1" s="1"/>
  <c r="G728" i="1" s="1" a="1"/>
  <c r="G728" i="1" s="1"/>
  <c r="G742" i="1" a="1"/>
  <c r="G742" i="1" s="1"/>
  <c r="G744" i="1" s="1" a="1"/>
  <c r="G744" i="1" s="1"/>
  <c r="G274" i="1"/>
  <c r="G363" i="1" s="1"/>
  <c r="G504" i="1" s="1"/>
  <c r="G364" i="1"/>
  <c r="H786" i="1"/>
  <c r="H787" i="1" s="1"/>
  <c r="H783" i="1"/>
  <c r="I786" i="1"/>
  <c r="I787" i="1" s="1"/>
  <c r="I783" i="1"/>
  <c r="I274" i="1"/>
  <c r="I363" i="1" s="1"/>
  <c r="I504" i="1" s="1"/>
  <c r="I364" i="1"/>
  <c r="I362" i="1"/>
  <c r="I429" i="1" s="1"/>
  <c r="H283" i="1"/>
  <c r="H382" i="1" s="1"/>
  <c r="H513" i="1" s="1"/>
  <c r="H383" i="1"/>
  <c r="H514" i="1" s="1"/>
  <c r="F363" i="1"/>
  <c r="F504" i="1" s="1"/>
  <c r="F726" i="1" a="1"/>
  <c r="F726" i="1" s="1"/>
  <c r="F728" i="1" s="1" a="1"/>
  <c r="F728" i="1" s="1"/>
  <c r="F742" i="1" a="1"/>
  <c r="F742" i="1" s="1"/>
  <c r="F744" i="1" s="1" a="1"/>
  <c r="F744" i="1" s="1"/>
  <c r="F314" i="1"/>
  <c r="F419" i="1" s="1"/>
  <c r="F474" i="1"/>
  <c r="F324" i="1"/>
  <c r="F479" i="1" s="1"/>
  <c r="G362" i="1"/>
  <c r="G429" i="1" s="1"/>
  <c r="F121" i="1"/>
  <c r="F126" i="1"/>
  <c r="G314" i="1"/>
  <c r="G419" i="1" s="1"/>
  <c r="G474" i="1"/>
  <c r="H362" i="1"/>
  <c r="H429" i="1" s="1"/>
  <c r="H121" i="1"/>
  <c r="H126" i="1"/>
  <c r="H314" i="1"/>
  <c r="H419" i="1" s="1"/>
  <c r="H474" i="1"/>
  <c r="I121" i="1"/>
  <c r="I126" i="1"/>
  <c r="I361" i="1"/>
  <c r="I428" i="1" s="1"/>
  <c r="I314" i="1"/>
  <c r="I419" i="1" s="1"/>
  <c r="I474" i="1"/>
  <c r="F122" i="1"/>
  <c r="F315" i="1"/>
  <c r="F420" i="1" s="1"/>
  <c r="F320" i="1"/>
  <c r="F475" i="1" s="1"/>
  <c r="F925" i="1"/>
  <c r="F924" i="1" s="1"/>
  <c r="G122" i="1"/>
  <c r="I383" i="1"/>
  <c r="I514" i="1" s="1"/>
  <c r="H925" i="1"/>
  <c r="H924" i="1" s="1"/>
  <c r="H122" i="1"/>
  <c r="I742" i="1" a="1"/>
  <c r="I742" i="1" s="1"/>
  <c r="I744" i="1" s="1" a="1"/>
  <c r="I744" i="1" s="1"/>
  <c r="F895" i="1"/>
  <c r="F903" i="1" s="1"/>
  <c r="G899" i="1"/>
  <c r="H364" i="1"/>
  <c r="I899" i="1"/>
  <c r="H321" i="1"/>
  <c r="H476" i="1" s="1"/>
  <c r="I321" i="1"/>
  <c r="I476" i="1" s="1"/>
  <c r="G783" i="1"/>
  <c r="F140" i="1" a="1"/>
  <c r="F140" i="1" s="1"/>
  <c r="G241" i="1"/>
  <c r="G316" i="1" s="1"/>
  <c r="G471" i="1" s="1"/>
  <c r="H241" i="1"/>
  <c r="H316" i="1" s="1"/>
  <c r="H471" i="1" s="1"/>
  <c r="H726" i="1" a="1"/>
  <c r="H726" i="1" s="1"/>
  <c r="H728" i="1" s="1" a="1"/>
  <c r="H728" i="1" s="1"/>
  <c r="I386" i="1"/>
  <c r="I517" i="1" s="1"/>
  <c r="I241" i="1"/>
  <c r="I316" i="1" s="1"/>
  <c r="I471" i="1" s="1"/>
  <c r="I726" i="1" a="1"/>
  <c r="I726" i="1" s="1"/>
  <c r="I728" i="1" s="1" a="1"/>
  <c r="I728" i="1" s="1"/>
  <c r="H140" i="1" a="1"/>
  <c r="H140" i="1" s="1"/>
  <c r="H902" i="1"/>
  <c r="F902" i="1" l="1"/>
  <c r="F899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K1693" i="1" a="1"/>
  <c r="K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1177" i="1" a="1"/>
  <c r="J1177" i="1" s="1"/>
  <c r="J1179" i="1" a="1"/>
  <c r="J1179" i="1" s="1"/>
  <c r="J1178" i="1" a="1"/>
  <c r="J1178" i="1" s="1"/>
  <c r="J1176" i="1" a="1"/>
  <c r="J1176" i="1" s="1"/>
  <c r="K1175" i="1" a="1"/>
  <c r="K1175" i="1" s="1"/>
  <c r="L1173" i="1" a="1"/>
  <c r="L1173" i="1" s="1"/>
  <c r="J1174" i="1" a="1"/>
  <c r="J1174" i="1" s="1"/>
  <c r="K1174" i="1" a="1"/>
  <c r="K1174" i="1" s="1"/>
  <c r="K1176" i="1" a="1"/>
  <c r="K1176" i="1" s="1"/>
  <c r="L1178" i="1" a="1"/>
  <c r="L1178" i="1" s="1"/>
  <c r="L1179" i="1" a="1"/>
  <c r="L1179" i="1" s="1"/>
  <c r="L1174" i="1" a="1"/>
  <c r="L1174" i="1" s="1"/>
  <c r="K1177" i="1" a="1"/>
  <c r="K1177" i="1" s="1"/>
  <c r="K1178" i="1" a="1"/>
  <c r="K1178" i="1" s="1"/>
  <c r="L1175" i="1" a="1"/>
  <c r="L1175" i="1" s="1"/>
  <c r="J1175" i="1" a="1"/>
  <c r="J1175" i="1" s="1"/>
  <c r="L1177" i="1" a="1"/>
  <c r="L1177" i="1" s="1"/>
  <c r="K1179" i="1" a="1"/>
  <c r="K1179" i="1" s="1"/>
  <c r="L1176" i="1" a="1"/>
  <c r="L1176" i="1" s="1"/>
  <c r="L1166" i="1" a="1"/>
  <c r="L1166" i="1" s="1"/>
  <c r="L1171" i="1" a="1"/>
  <c r="L1171" i="1" s="1"/>
  <c r="J1166" i="1" a="1"/>
  <c r="J1166" i="1" s="1"/>
  <c r="J1171" i="1" a="1"/>
  <c r="J1171" i="1" s="1"/>
  <c r="L1169" i="1" a="1"/>
  <c r="L1169" i="1" s="1"/>
  <c r="L1168" i="1" a="1"/>
  <c r="L1168" i="1" s="1"/>
  <c r="J1167" i="1" a="1"/>
  <c r="J1167" i="1" s="1"/>
  <c r="K1172" i="1" a="1"/>
  <c r="K1172" i="1" s="1"/>
  <c r="K1167" i="1" a="1"/>
  <c r="K1167" i="1" s="1"/>
  <c r="K1171" i="1" a="1"/>
  <c r="K1171" i="1" s="1"/>
  <c r="K1168" i="1" a="1"/>
  <c r="K1168" i="1" s="1"/>
  <c r="L1164" i="1" a="1"/>
  <c r="L1164" i="1" s="1"/>
  <c r="K1173" i="1" a="1"/>
  <c r="K1173" i="1" s="1"/>
  <c r="K1169" i="1" a="1"/>
  <c r="K1169" i="1" s="1"/>
  <c r="K1166" i="1" a="1"/>
  <c r="K1166" i="1" s="1"/>
  <c r="J1168" i="1" a="1"/>
  <c r="J1168" i="1" s="1"/>
  <c r="L1165" i="1" a="1"/>
  <c r="L1165" i="1" s="1"/>
  <c r="J1169" i="1" a="1"/>
  <c r="J1169" i="1" s="1"/>
  <c r="J1172" i="1" a="1"/>
  <c r="J1172" i="1" s="1"/>
  <c r="J1165" i="1" a="1"/>
  <c r="J1165" i="1" s="1"/>
  <c r="K1165" i="1" a="1"/>
  <c r="K1165" i="1" s="1"/>
  <c r="L1170" i="1" a="1"/>
  <c r="L1170" i="1" s="1"/>
  <c r="J1173" i="1" a="1"/>
  <c r="J1173" i="1" s="1"/>
  <c r="K1170" i="1" a="1"/>
  <c r="K1170" i="1" s="1"/>
  <c r="J1170" i="1" a="1"/>
  <c r="J1170" i="1" s="1"/>
  <c r="K1164" i="1" a="1"/>
  <c r="K1164" i="1" s="1"/>
  <c r="L1172" i="1" a="1"/>
  <c r="L1172" i="1" s="1"/>
  <c r="L1167" i="1" a="1"/>
  <c r="L1167" i="1" s="1"/>
  <c r="J1162" i="1" a="1"/>
  <c r="J1162" i="1" s="1"/>
  <c r="J1154" i="1" a="1"/>
  <c r="J1154" i="1" s="1"/>
  <c r="J1156" i="1" a="1"/>
  <c r="J1156" i="1" s="1"/>
  <c r="L1154" i="1" a="1"/>
  <c r="L1154" i="1" s="1"/>
  <c r="L1156" i="1" a="1"/>
  <c r="L1156" i="1" s="1"/>
  <c r="L1155" i="1" a="1"/>
  <c r="L1155" i="1" s="1"/>
  <c r="K1154" i="1" a="1"/>
  <c r="K1154" i="1" s="1"/>
  <c r="J1153" i="1" a="1"/>
  <c r="J1153" i="1" s="1"/>
  <c r="J1164" i="1" a="1"/>
  <c r="J1164" i="1" s="1"/>
  <c r="L1163" i="1" a="1"/>
  <c r="L1163" i="1" s="1"/>
  <c r="K1163" i="1" a="1"/>
  <c r="K1163" i="1" s="1"/>
  <c r="L1153" i="1" a="1"/>
  <c r="L1153" i="1" s="1"/>
  <c r="K1155" i="1" a="1"/>
  <c r="K1155" i="1" s="1"/>
  <c r="J1155" i="1" a="1"/>
  <c r="J1155" i="1" s="1"/>
  <c r="K1153" i="1" a="1"/>
  <c r="K1153" i="1" s="1"/>
  <c r="J1163" i="1" a="1"/>
  <c r="J1163" i="1" s="1"/>
  <c r="K1156" i="1" a="1"/>
  <c r="K1156" i="1" s="1"/>
  <c r="K1162" i="1" a="1"/>
  <c r="K1162" i="1" s="1"/>
  <c r="L1162" i="1" a="1"/>
  <c r="L1162" i="1" s="1"/>
  <c r="K1143" i="1" a="1"/>
  <c r="K1143" i="1" s="1"/>
  <c r="K1146" i="1" a="1"/>
  <c r="K1146" i="1" s="1"/>
  <c r="J1147" i="1" a="1"/>
  <c r="J1147" i="1" s="1"/>
  <c r="L1144" i="1" a="1"/>
  <c r="L1144" i="1" s="1"/>
  <c r="K1150" i="1" a="1"/>
  <c r="K1150" i="1" s="1"/>
  <c r="L1145" i="1" a="1"/>
  <c r="L1145" i="1" s="1"/>
  <c r="K1149" i="1" a="1"/>
  <c r="K1149" i="1" s="1"/>
  <c r="J1150" i="1" a="1"/>
  <c r="J1150" i="1" s="1"/>
  <c r="L1147" i="1" a="1"/>
  <c r="L1147" i="1" s="1"/>
  <c r="K1147" i="1" a="1"/>
  <c r="K1147" i="1" s="1"/>
  <c r="K1145" i="1" a="1"/>
  <c r="K1145" i="1" s="1"/>
  <c r="J1144" i="1" a="1"/>
  <c r="J1144" i="1" s="1"/>
  <c r="L1149" i="1" a="1"/>
  <c r="L1149" i="1" s="1"/>
  <c r="J1149" i="1" a="1"/>
  <c r="J1149" i="1" s="1"/>
  <c r="J1148" i="1" a="1"/>
  <c r="J1148" i="1" s="1"/>
  <c r="J1143" i="1" a="1"/>
  <c r="J1143" i="1" s="1"/>
  <c r="L1150" i="1" a="1"/>
  <c r="L1150" i="1" s="1"/>
  <c r="J1145" i="1" a="1"/>
  <c r="J1145" i="1" s="1"/>
  <c r="K1148" i="1" a="1"/>
  <c r="K1148" i="1" s="1"/>
  <c r="L1146" i="1" a="1"/>
  <c r="L1146" i="1" s="1"/>
  <c r="L1143" i="1" a="1"/>
  <c r="L1143" i="1" s="1"/>
  <c r="L1142" i="1" a="1"/>
  <c r="L1142" i="1" s="1"/>
  <c r="J1146" i="1" a="1"/>
  <c r="J1146" i="1" s="1"/>
  <c r="L1148" i="1" a="1"/>
  <c r="L1148" i="1" s="1"/>
  <c r="K1144" i="1" a="1"/>
  <c r="K1144" i="1" s="1"/>
  <c r="L1140" i="1" a="1"/>
  <c r="L1140" i="1" s="1"/>
  <c r="L1139" i="1" a="1"/>
  <c r="L1139" i="1" s="1"/>
  <c r="K1139" i="1" a="1"/>
  <c r="K1139" i="1" s="1"/>
  <c r="K1142" i="1" a="1"/>
  <c r="K1142" i="1" s="1"/>
  <c r="J1142" i="1" a="1"/>
  <c r="J1142" i="1" s="1"/>
  <c r="L1141" i="1" a="1"/>
  <c r="L1141" i="1" s="1"/>
  <c r="K1141" i="1" a="1"/>
  <c r="K1141" i="1" s="1"/>
  <c r="J1141" i="1" a="1"/>
  <c r="J1141" i="1" s="1"/>
  <c r="J1138" i="1" a="1"/>
  <c r="J1138" i="1" s="1"/>
  <c r="L1138" i="1" a="1"/>
  <c r="L1138" i="1" s="1"/>
  <c r="K1140" i="1" a="1"/>
  <c r="K1140" i="1" s="1"/>
  <c r="J1139" i="1" a="1"/>
  <c r="J1139" i="1" s="1"/>
  <c r="K1138" i="1" a="1"/>
  <c r="K1138" i="1" s="1"/>
  <c r="J1140" i="1" a="1"/>
  <c r="J1140" i="1" s="1"/>
  <c r="L1500" i="1" a="1"/>
  <c r="L1500" i="1" s="1"/>
  <c r="K1500" i="1" a="1"/>
  <c r="K1500" i="1" s="1"/>
  <c r="J1500" i="1" a="1"/>
  <c r="J1500" i="1" s="1"/>
  <c r="L1492" i="1" a="1"/>
  <c r="L1492" i="1" s="1"/>
  <c r="J1499" i="1" a="1"/>
  <c r="J1499" i="1" s="1"/>
  <c r="L1494" i="1" a="1"/>
  <c r="L1494" i="1" s="1"/>
  <c r="K1494" i="1" a="1"/>
  <c r="K1494" i="1" s="1"/>
  <c r="J1494" i="1" a="1"/>
  <c r="J1494" i="1" s="1"/>
  <c r="J1492" i="1" a="1"/>
  <c r="J1492" i="1" s="1"/>
  <c r="K1499" i="1" a="1"/>
  <c r="K1499" i="1" s="1"/>
  <c r="L1499" i="1" a="1"/>
  <c r="L1499" i="1" s="1"/>
  <c r="K1492" i="1" a="1"/>
  <c r="K1492" i="1" s="1"/>
  <c r="J1485" i="1" a="1"/>
  <c r="J1485" i="1" s="1"/>
  <c r="L1487" i="1" a="1"/>
  <c r="L1487" i="1" s="1"/>
  <c r="J1487" i="1" a="1"/>
  <c r="J1487" i="1" s="1"/>
  <c r="K1485" i="1" a="1"/>
  <c r="K1485" i="1" s="1"/>
  <c r="K1487" i="1" a="1"/>
  <c r="K1487" i="1" s="1"/>
  <c r="L1485" i="1" a="1"/>
  <c r="L1485" i="1" s="1"/>
  <c r="J1458" i="1" a="1"/>
  <c r="J1458" i="1" s="1"/>
  <c r="K1455" i="1" a="1"/>
  <c r="K1455" i="1" s="1"/>
  <c r="J1456" i="1" a="1"/>
  <c r="J1456" i="1" s="1"/>
  <c r="L1456" i="1" a="1"/>
  <c r="L1456" i="1" s="1"/>
  <c r="K1457" i="1" a="1"/>
  <c r="K1457" i="1" s="1"/>
  <c r="L1455" i="1" a="1"/>
  <c r="L1455" i="1" s="1"/>
  <c r="J1455" i="1" a="1"/>
  <c r="J1455" i="1" s="1"/>
  <c r="J1457" i="1" a="1"/>
  <c r="J1457" i="1" s="1"/>
  <c r="K1458" i="1" a="1"/>
  <c r="K1458" i="1" s="1"/>
  <c r="L1458" i="1" a="1"/>
  <c r="L1458" i="1" s="1"/>
  <c r="K1456" i="1" a="1"/>
  <c r="K1456" i="1" s="1"/>
  <c r="L1457" i="1" a="1"/>
  <c r="L1457" i="1" s="1"/>
  <c r="J1450" i="1" a="1"/>
  <c r="J1450" i="1" s="1"/>
  <c r="J1451" i="1" a="1"/>
  <c r="J1451" i="1" s="1"/>
  <c r="K1453" i="1" a="1"/>
  <c r="K1453" i="1" s="1"/>
  <c r="J1453" i="1" a="1"/>
  <c r="J1453" i="1" s="1"/>
  <c r="L1452" i="1" a="1"/>
  <c r="L1452" i="1" s="1"/>
  <c r="J1452" i="1" a="1"/>
  <c r="J1452" i="1" s="1"/>
  <c r="L1451" i="1" a="1"/>
  <c r="L1451" i="1" s="1"/>
  <c r="K1449" i="1" a="1"/>
  <c r="K1449" i="1" s="1"/>
  <c r="J1447" i="1" a="1"/>
  <c r="J1447" i="1" s="1"/>
  <c r="L1454" i="1" a="1"/>
  <c r="L1454" i="1" s="1"/>
  <c r="J1449" i="1" a="1"/>
  <c r="J1449" i="1" s="1"/>
  <c r="L1447" i="1" a="1"/>
  <c r="L1447" i="1" s="1"/>
  <c r="K1454" i="1" a="1"/>
  <c r="K1454" i="1" s="1"/>
  <c r="L1453" i="1" a="1"/>
  <c r="L1453" i="1" s="1"/>
  <c r="J1454" i="1" a="1"/>
  <c r="J1454" i="1" s="1"/>
  <c r="K1451" i="1" a="1"/>
  <c r="K1451" i="1" s="1"/>
  <c r="K1452" i="1" a="1"/>
  <c r="K1452" i="1" s="1"/>
  <c r="K1448" i="1" a="1"/>
  <c r="K1448" i="1" s="1"/>
  <c r="J1448" i="1" a="1"/>
  <c r="J1448" i="1" s="1"/>
  <c r="L1450" i="1" a="1"/>
  <c r="L1450" i="1" s="1"/>
  <c r="K1450" i="1" a="1"/>
  <c r="K1450" i="1" s="1"/>
  <c r="L1449" i="1" a="1"/>
  <c r="L1449" i="1" s="1"/>
  <c r="L1448" i="1" a="1"/>
  <c r="L1448" i="1" s="1"/>
  <c r="K1447" i="1" a="1"/>
  <c r="K1447" i="1" s="1"/>
  <c r="J1440" i="1" a="1"/>
  <c r="J1440" i="1" s="1"/>
  <c r="J1442" i="1" a="1"/>
  <c r="J1442" i="1" s="1"/>
  <c r="L1446" i="1" a="1"/>
  <c r="L1446" i="1" s="1"/>
  <c r="K1440" i="1" a="1"/>
  <c r="K1440" i="1" s="1"/>
  <c r="L1445" i="1" a="1"/>
  <c r="L1445" i="1" s="1"/>
  <c r="K1443" i="1" a="1"/>
  <c r="K1443" i="1" s="1"/>
  <c r="K1446" i="1" a="1"/>
  <c r="K1446" i="1" s="1"/>
  <c r="J1446" i="1" a="1"/>
  <c r="J1446" i="1" s="1"/>
  <c r="J1439" i="1" a="1"/>
  <c r="J1439" i="1" s="1"/>
  <c r="K1445" i="1" a="1"/>
  <c r="K1445" i="1" s="1"/>
  <c r="L1443" i="1" a="1"/>
  <c r="L1443" i="1" s="1"/>
  <c r="K1439" i="1" a="1"/>
  <c r="K1439" i="1" s="1"/>
  <c r="J1445" i="1" a="1"/>
  <c r="J1445" i="1" s="1"/>
  <c r="K1441" i="1" a="1"/>
  <c r="K1441" i="1" s="1"/>
  <c r="J1443" i="1" a="1"/>
  <c r="J1443" i="1" s="1"/>
  <c r="L1441" i="1" a="1"/>
  <c r="L1441" i="1" s="1"/>
  <c r="L1439" i="1" a="1"/>
  <c r="L1439" i="1" s="1"/>
  <c r="L1438" i="1" a="1"/>
  <c r="L1438" i="1" s="1"/>
  <c r="L1442" i="1" a="1"/>
  <c r="L1442" i="1" s="1"/>
  <c r="K1438" i="1" a="1"/>
  <c r="K1438" i="1" s="1"/>
  <c r="K1442" i="1" a="1"/>
  <c r="K1442" i="1" s="1"/>
  <c r="L1444" i="1" a="1"/>
  <c r="L1444" i="1" s="1"/>
  <c r="J1444" i="1" a="1"/>
  <c r="J1444" i="1" s="1"/>
  <c r="J1441" i="1" a="1"/>
  <c r="J1441" i="1" s="1"/>
  <c r="L1440" i="1" a="1"/>
  <c r="L1440" i="1" s="1"/>
  <c r="J1438" i="1" a="1"/>
  <c r="J1438" i="1" s="1"/>
  <c r="K1444" i="1" a="1"/>
  <c r="K1444" i="1" s="1"/>
  <c r="J1436" i="1" a="1"/>
  <c r="J1436" i="1" s="1"/>
  <c r="K1436" i="1" a="1"/>
  <c r="K1436" i="1" s="1"/>
  <c r="L1434" i="1" a="1"/>
  <c r="L1434" i="1" s="1"/>
  <c r="L1437" i="1" a="1"/>
  <c r="L1437" i="1" s="1"/>
  <c r="K1437" i="1" a="1"/>
  <c r="K1437" i="1" s="1"/>
  <c r="K1434" i="1" a="1"/>
  <c r="K1434" i="1" s="1"/>
  <c r="K1433" i="1" a="1"/>
  <c r="K1433" i="1" s="1"/>
  <c r="J1437" i="1" a="1"/>
  <c r="J1437" i="1" s="1"/>
  <c r="J1433" i="1" a="1"/>
  <c r="J1433" i="1" s="1"/>
  <c r="J1432" i="1" a="1"/>
  <c r="J1432" i="1" s="1"/>
  <c r="L1436" i="1" a="1"/>
  <c r="L1436" i="1" s="1"/>
  <c r="L1432" i="1" a="1"/>
  <c r="L1432" i="1" s="1"/>
  <c r="L1433" i="1" a="1"/>
  <c r="L1433" i="1" s="1"/>
  <c r="L1431" i="1" a="1"/>
  <c r="L1431" i="1" s="1"/>
  <c r="J1431" i="1" a="1"/>
  <c r="J1431" i="1" s="1"/>
  <c r="J1430" i="1" a="1"/>
  <c r="J1430" i="1" s="1"/>
  <c r="J1434" i="1" a="1"/>
  <c r="J1434" i="1" s="1"/>
  <c r="L1430" i="1" a="1"/>
  <c r="L1430" i="1" s="1"/>
  <c r="K1432" i="1" a="1"/>
  <c r="K1432" i="1" s="1"/>
  <c r="K1431" i="1" a="1"/>
  <c r="K1431" i="1" s="1"/>
  <c r="K1430" i="1" a="1"/>
  <c r="K1430" i="1" s="1"/>
  <c r="K1423" i="1" a="1"/>
  <c r="K1423" i="1" s="1"/>
  <c r="J1423" i="1" a="1"/>
  <c r="J1423" i="1" s="1"/>
  <c r="L1419" i="1" a="1"/>
  <c r="L1419" i="1" s="1"/>
  <c r="L1420" i="1" a="1"/>
  <c r="L1420" i="1" s="1"/>
  <c r="L1423" i="1" a="1"/>
  <c r="L1423" i="1" s="1"/>
  <c r="K1424" i="1" a="1"/>
  <c r="K1424" i="1" s="1"/>
  <c r="J1424" i="1" a="1"/>
  <c r="J1424" i="1" s="1"/>
  <c r="J1419" i="1" a="1"/>
  <c r="J1419" i="1" s="1"/>
  <c r="K1421" i="1" a="1"/>
  <c r="K1421" i="1" s="1"/>
  <c r="K1422" i="1" a="1"/>
  <c r="K1422" i="1" s="1"/>
  <c r="L1421" i="1" a="1"/>
  <c r="L1421" i="1" s="1"/>
  <c r="L1418" i="1" a="1"/>
  <c r="L1418" i="1" s="1"/>
  <c r="J1422" i="1" a="1"/>
  <c r="J1422" i="1" s="1"/>
  <c r="J1421" i="1" a="1"/>
  <c r="J1421" i="1" s="1"/>
  <c r="J1420" i="1" a="1"/>
  <c r="J1420" i="1" s="1"/>
  <c r="K1418" i="1" a="1"/>
  <c r="K1418" i="1" s="1"/>
  <c r="J1418" i="1" a="1"/>
  <c r="J1418" i="1" s="1"/>
  <c r="K1419" i="1" a="1"/>
  <c r="K1419" i="1" s="1"/>
  <c r="L1417" i="1" a="1"/>
  <c r="L1417" i="1" s="1"/>
  <c r="L1424" i="1" a="1"/>
  <c r="L1424" i="1" s="1"/>
  <c r="L1422" i="1" a="1"/>
  <c r="L1422" i="1" s="1"/>
  <c r="K1420" i="1" a="1"/>
  <c r="K1420" i="1" s="1"/>
  <c r="K1408" i="1" a="1"/>
  <c r="K1408" i="1" s="1"/>
  <c r="K1407" i="1" a="1"/>
  <c r="K1407" i="1" s="1"/>
  <c r="L1410" i="1" a="1"/>
  <c r="L1410" i="1" s="1"/>
  <c r="K1409" i="1" a="1"/>
  <c r="K1409" i="1" s="1"/>
  <c r="K1417" i="1" a="1"/>
  <c r="K1417" i="1" s="1"/>
  <c r="J1407" i="1" a="1"/>
  <c r="J1407" i="1" s="1"/>
  <c r="J1417" i="1" a="1"/>
  <c r="J1417" i="1" s="1"/>
  <c r="L1405" i="1" a="1"/>
  <c r="L1405" i="1" s="1"/>
  <c r="K1416" i="1" a="1"/>
  <c r="K1416" i="1" s="1"/>
  <c r="J1409" i="1" a="1"/>
  <c r="J1409" i="1" s="1"/>
  <c r="L1408" i="1" a="1"/>
  <c r="L1408" i="1" s="1"/>
  <c r="L1409" i="1" a="1"/>
  <c r="L1409" i="1" s="1"/>
  <c r="L1407" i="1" a="1"/>
  <c r="L1407" i="1" s="1"/>
  <c r="L1416" i="1" a="1"/>
  <c r="L1416" i="1" s="1"/>
  <c r="J1416" i="1" a="1"/>
  <c r="J1416" i="1" s="1"/>
  <c r="K1410" i="1" a="1"/>
  <c r="K1410" i="1" s="1"/>
  <c r="J1410" i="1" a="1"/>
  <c r="J1410" i="1" s="1"/>
  <c r="J1408" i="1" a="1"/>
  <c r="J1408" i="1" s="1"/>
  <c r="J1403" i="1" a="1"/>
  <c r="J1403" i="1" s="1"/>
  <c r="K1404" i="1" a="1"/>
  <c r="K1404" i="1" s="1"/>
  <c r="L1403" i="1" a="1"/>
  <c r="L1403" i="1" s="1"/>
  <c r="K1402" i="1" a="1"/>
  <c r="K1402" i="1" s="1"/>
  <c r="J1401" i="1" a="1"/>
  <c r="J1401" i="1" s="1"/>
  <c r="K1403" i="1" a="1"/>
  <c r="K1403" i="1" s="1"/>
  <c r="K1405" i="1" a="1"/>
  <c r="K1405" i="1" s="1"/>
  <c r="L1404" i="1" a="1"/>
  <c r="L1404" i="1" s="1"/>
  <c r="L1401" i="1" a="1"/>
  <c r="L1401" i="1" s="1"/>
  <c r="J1402" i="1" a="1"/>
  <c r="J1402" i="1" s="1"/>
  <c r="K1401" i="1" a="1"/>
  <c r="K1401" i="1" s="1"/>
  <c r="L1402" i="1" a="1"/>
  <c r="L1402" i="1" s="1"/>
  <c r="J1405" i="1" a="1"/>
  <c r="J1405" i="1" s="1"/>
  <c r="J1404" i="1" a="1"/>
  <c r="J1404" i="1" s="1"/>
  <c r="K1371" i="1" a="1"/>
  <c r="K1371" i="1" s="1"/>
  <c r="L1371" i="1" a="1"/>
  <c r="L1371" i="1" s="1"/>
  <c r="J1372" i="1" a="1"/>
  <c r="J1372" i="1" s="1"/>
  <c r="K1373" i="1" a="1"/>
  <c r="K1373" i="1" s="1"/>
  <c r="L1373" i="1" a="1"/>
  <c r="L1373" i="1" s="1"/>
  <c r="J1373" i="1" a="1"/>
  <c r="J1373" i="1" s="1"/>
  <c r="J1374" i="1" a="1"/>
  <c r="J1374" i="1" s="1"/>
  <c r="K1370" i="1" a="1"/>
  <c r="K1370" i="1" s="1"/>
  <c r="K1374" i="1" a="1"/>
  <c r="K1374" i="1" s="1"/>
  <c r="K1372" i="1" a="1"/>
  <c r="K1372" i="1" s="1"/>
  <c r="L1374" i="1" a="1"/>
  <c r="L1374" i="1" s="1"/>
  <c r="L1370" i="1" a="1"/>
  <c r="L1370" i="1" s="1"/>
  <c r="J1370" i="1" a="1"/>
  <c r="J1370" i="1" s="1"/>
  <c r="L1372" i="1" a="1"/>
  <c r="L1372" i="1" s="1"/>
  <c r="J1371" i="1" a="1"/>
  <c r="J1371" i="1" s="1"/>
  <c r="K1361" i="1" a="1"/>
  <c r="K1361" i="1" s="1"/>
  <c r="K1362" i="1" a="1"/>
  <c r="K1362" i="1" s="1"/>
  <c r="J1366" i="1" a="1"/>
  <c r="J1366" i="1" s="1"/>
  <c r="J1362" i="1" a="1"/>
  <c r="J1362" i="1" s="1"/>
  <c r="L1369" i="1" a="1"/>
  <c r="L1369" i="1" s="1"/>
  <c r="K1369" i="1" a="1"/>
  <c r="K1369" i="1" s="1"/>
  <c r="J1369" i="1" a="1"/>
  <c r="J1369" i="1" s="1"/>
  <c r="L1367" i="1" a="1"/>
  <c r="L1367" i="1" s="1"/>
  <c r="L1361" i="1" a="1"/>
  <c r="L1361" i="1" s="1"/>
  <c r="L1363" i="1" a="1"/>
  <c r="L1363" i="1" s="1"/>
  <c r="L1364" i="1" a="1"/>
  <c r="L1364" i="1" s="1"/>
  <c r="L1368" i="1" a="1"/>
  <c r="L1368" i="1" s="1"/>
  <c r="K1368" i="1" a="1"/>
  <c r="K1368" i="1" s="1"/>
  <c r="J1368" i="1" a="1"/>
  <c r="J1368" i="1" s="1"/>
  <c r="J1367" i="1" a="1"/>
  <c r="J1367" i="1" s="1"/>
  <c r="L1366" i="1" a="1"/>
  <c r="L1366" i="1" s="1"/>
  <c r="J1364" i="1" a="1"/>
  <c r="J1364" i="1" s="1"/>
  <c r="L1362" i="1" a="1"/>
  <c r="L1362" i="1" s="1"/>
  <c r="K1363" i="1" a="1"/>
  <c r="K1363" i="1" s="1"/>
  <c r="K1367" i="1" a="1"/>
  <c r="K1367" i="1" s="1"/>
  <c r="K1366" i="1" a="1"/>
  <c r="K1366" i="1" s="1"/>
  <c r="L1365" i="1" a="1"/>
  <c r="L1365" i="1" s="1"/>
  <c r="K1365" i="1" a="1"/>
  <c r="K1365" i="1" s="1"/>
  <c r="J1365" i="1" a="1"/>
  <c r="J1365" i="1" s="1"/>
  <c r="K1364" i="1" a="1"/>
  <c r="K1364" i="1" s="1"/>
  <c r="J1363" i="1" a="1"/>
  <c r="J1363" i="1" s="1"/>
  <c r="J1361" i="1" a="1"/>
  <c r="J1361" i="1" s="1"/>
  <c r="K1354" i="1" a="1"/>
  <c r="K1354" i="1" s="1"/>
  <c r="J1356" i="1" a="1"/>
  <c r="J1356" i="1" s="1"/>
  <c r="J1354" i="1" a="1"/>
  <c r="J1354" i="1" s="1"/>
  <c r="L1360" i="1" a="1"/>
  <c r="L1360" i="1" s="1"/>
  <c r="K1360" i="1" a="1"/>
  <c r="K1360" i="1" s="1"/>
  <c r="J1360" i="1" a="1"/>
  <c r="J1360" i="1" s="1"/>
  <c r="J1359" i="1" a="1"/>
  <c r="J1359" i="1" s="1"/>
  <c r="K1358" i="1" a="1"/>
  <c r="K1358" i="1" s="1"/>
  <c r="K1356" i="1" a="1"/>
  <c r="K1356" i="1" s="1"/>
  <c r="L1353" i="1" a="1"/>
  <c r="L1353" i="1" s="1"/>
  <c r="L1357" i="1" a="1"/>
  <c r="L1357" i="1" s="1"/>
  <c r="J1355" i="1" a="1"/>
  <c r="J1355" i="1" s="1"/>
  <c r="J1352" i="1" a="1"/>
  <c r="J1352" i="1" s="1"/>
  <c r="K1359" i="1" a="1"/>
  <c r="K1359" i="1" s="1"/>
  <c r="K1357" i="1" a="1"/>
  <c r="K1357" i="1" s="1"/>
  <c r="J1357" i="1" a="1"/>
  <c r="J1357" i="1" s="1"/>
  <c r="K1352" i="1" a="1"/>
  <c r="K1352" i="1" s="1"/>
  <c r="L1354" i="1" a="1"/>
  <c r="L1354" i="1" s="1"/>
  <c r="K1353" i="1" a="1"/>
  <c r="K1353" i="1" s="1"/>
  <c r="L1359" i="1" a="1"/>
  <c r="L1359" i="1" s="1"/>
  <c r="L1355" i="1" a="1"/>
  <c r="L1355" i="1" s="1"/>
  <c r="L1352" i="1" a="1"/>
  <c r="L1352" i="1" s="1"/>
  <c r="L1358" i="1" a="1"/>
  <c r="L1358" i="1" s="1"/>
  <c r="J1358" i="1" a="1"/>
  <c r="J1358" i="1" s="1"/>
  <c r="L1356" i="1" a="1"/>
  <c r="L1356" i="1" s="1"/>
  <c r="J1353" i="1" a="1"/>
  <c r="J1353" i="1" s="1"/>
  <c r="K1355" i="1" a="1"/>
  <c r="K1355" i="1" s="1"/>
  <c r="J1349" i="1" a="1"/>
  <c r="J1349" i="1" s="1"/>
  <c r="K1346" i="1" a="1"/>
  <c r="K1346" i="1" s="1"/>
  <c r="L1350" i="1" a="1"/>
  <c r="L1350" i="1" s="1"/>
  <c r="K1350" i="1" a="1"/>
  <c r="K1350" i="1" s="1"/>
  <c r="K1349" i="1" a="1"/>
  <c r="K1349" i="1" s="1"/>
  <c r="L1346" i="1" a="1"/>
  <c r="L1346" i="1" s="1"/>
  <c r="J1350" i="1" a="1"/>
  <c r="J1350" i="1" s="1"/>
  <c r="K1347" i="1" a="1"/>
  <c r="K1347" i="1" s="1"/>
  <c r="L1348" i="1" a="1"/>
  <c r="L1348" i="1" s="1"/>
  <c r="L1347" i="1" a="1"/>
  <c r="L1347" i="1" s="1"/>
  <c r="J1346" i="1" a="1"/>
  <c r="J1346" i="1" s="1"/>
  <c r="L1349" i="1" a="1"/>
  <c r="L1349" i="1" s="1"/>
  <c r="J1347" i="1" a="1"/>
  <c r="J1347" i="1" s="1"/>
  <c r="K1340" i="1" a="1"/>
  <c r="K1340" i="1" s="1"/>
  <c r="J1340" i="1" a="1"/>
  <c r="J1340" i="1" s="1"/>
  <c r="K1348" i="1" a="1"/>
  <c r="K1348" i="1" s="1"/>
  <c r="J1348" i="1" a="1"/>
  <c r="J1348" i="1" s="1"/>
  <c r="L1340" i="1" a="1"/>
  <c r="L1340" i="1" s="1"/>
  <c r="L1332" i="1" a="1"/>
  <c r="L1332" i="1" s="1"/>
  <c r="J1336" i="1" a="1"/>
  <c r="J1336" i="1" s="1"/>
  <c r="K1339" i="1" a="1"/>
  <c r="K1339" i="1" s="1"/>
  <c r="K1335" i="1" a="1"/>
  <c r="K1335" i="1" s="1"/>
  <c r="J1332" i="1" a="1"/>
  <c r="J1332" i="1" s="1"/>
  <c r="K1333" i="1" a="1"/>
  <c r="K1333" i="1" s="1"/>
  <c r="L1339" i="1" a="1"/>
  <c r="L1339" i="1" s="1"/>
  <c r="J1339" i="1" a="1"/>
  <c r="J1339" i="1" s="1"/>
  <c r="L1335" i="1" a="1"/>
  <c r="L1335" i="1" s="1"/>
  <c r="L1338" i="1" a="1"/>
  <c r="L1338" i="1" s="1"/>
  <c r="J1338" i="1" a="1"/>
  <c r="J1338" i="1" s="1"/>
  <c r="J1337" i="1" a="1"/>
  <c r="J1337" i="1" s="1"/>
  <c r="K1332" i="1" a="1"/>
  <c r="K1332" i="1" s="1"/>
  <c r="J1334" i="1" a="1"/>
  <c r="J1334" i="1" s="1"/>
  <c r="L1337" i="1" a="1"/>
  <c r="L1337" i="1" s="1"/>
  <c r="K1338" i="1" a="1"/>
  <c r="K1338" i="1" s="1"/>
  <c r="J1333" i="1" a="1"/>
  <c r="J1333" i="1" s="1"/>
  <c r="K1336" i="1" a="1"/>
  <c r="K1336" i="1" s="1"/>
  <c r="L1334" i="1" a="1"/>
  <c r="L1334" i="1" s="1"/>
  <c r="J1335" i="1" a="1"/>
  <c r="J1335" i="1" s="1"/>
  <c r="L1333" i="1" a="1"/>
  <c r="L1333" i="1" s="1"/>
  <c r="L1336" i="1" a="1"/>
  <c r="L1336" i="1" s="1"/>
  <c r="K1337" i="1" a="1"/>
  <c r="K1337" i="1" s="1"/>
  <c r="K1334" i="1" a="1"/>
  <c r="K1334" i="1" s="1"/>
  <c r="J1326" i="1" a="1"/>
  <c r="J1326" i="1" s="1"/>
  <c r="J1325" i="1" a="1"/>
  <c r="J1325" i="1" s="1"/>
  <c r="L1321" i="1" a="1"/>
  <c r="L1321" i="1" s="1"/>
  <c r="K1319" i="1" a="1"/>
  <c r="K1319" i="1" s="1"/>
  <c r="L1320" i="1" a="1"/>
  <c r="L1320" i="1" s="1"/>
  <c r="L1323" i="1" a="1"/>
  <c r="L1323" i="1" s="1"/>
  <c r="L1318" i="1" a="1"/>
  <c r="L1318" i="1" s="1"/>
  <c r="J1318" i="1" a="1"/>
  <c r="J1318" i="1" s="1"/>
  <c r="J1320" i="1" a="1"/>
  <c r="J1320" i="1" s="1"/>
  <c r="L1324" i="1" a="1"/>
  <c r="L1324" i="1" s="1"/>
  <c r="J1321" i="1" a="1"/>
  <c r="J1321" i="1" s="1"/>
  <c r="K1320" i="1" a="1"/>
  <c r="K1320" i="1" s="1"/>
  <c r="K1323" i="1" a="1"/>
  <c r="K1323" i="1" s="1"/>
  <c r="J1319" i="1" a="1"/>
  <c r="J1319" i="1" s="1"/>
  <c r="K1324" i="1" a="1"/>
  <c r="K1324" i="1" s="1"/>
  <c r="L1326" i="1" a="1"/>
  <c r="L1326" i="1" s="1"/>
  <c r="L1325" i="1" a="1"/>
  <c r="L1325" i="1" s="1"/>
  <c r="J1324" i="1" a="1"/>
  <c r="J1324" i="1" s="1"/>
  <c r="K1318" i="1" a="1"/>
  <c r="K1318" i="1" s="1"/>
  <c r="K1326" i="1" a="1"/>
  <c r="K1326" i="1" s="1"/>
  <c r="K1325" i="1" a="1"/>
  <c r="K1325" i="1" s="1"/>
  <c r="J1323" i="1" a="1"/>
  <c r="J1323" i="1" s="1"/>
  <c r="L1319" i="1" a="1"/>
  <c r="L1319" i="1" s="1"/>
  <c r="K1321" i="1" a="1"/>
  <c r="K1321" i="1" s="1"/>
  <c r="K1317" i="1" a="1"/>
  <c r="K1317" i="1" s="1"/>
  <c r="J1317" i="1" a="1"/>
  <c r="J1317" i="1" s="1"/>
  <c r="L1317" i="1" a="1"/>
  <c r="L1317" i="1" s="1"/>
  <c r="L1262" i="1" a="1"/>
  <c r="L1262" i="1" s="1"/>
  <c r="K1262" i="1" a="1"/>
  <c r="K1262" i="1" s="1"/>
  <c r="L1260" i="1" a="1"/>
  <c r="L1260" i="1" s="1"/>
  <c r="L1258" i="1" a="1"/>
  <c r="L1258" i="1" s="1"/>
  <c r="J1262" i="1" a="1"/>
  <c r="J1262" i="1" s="1"/>
  <c r="K1260" i="1" a="1"/>
  <c r="K1260" i="1" s="1"/>
  <c r="J1260" i="1" a="1"/>
  <c r="J1260" i="1" s="1"/>
  <c r="K1259" i="1" a="1"/>
  <c r="K1259" i="1" s="1"/>
  <c r="J1261" i="1" a="1"/>
  <c r="J1261" i="1" s="1"/>
  <c r="L1259" i="1" a="1"/>
  <c r="L1259" i="1" s="1"/>
  <c r="J1259" i="1" a="1"/>
  <c r="J1259" i="1" s="1"/>
  <c r="L1261" i="1" a="1"/>
  <c r="L1261" i="1" s="1"/>
  <c r="K1263" i="1" a="1"/>
  <c r="K1263" i="1" s="1"/>
  <c r="K1261" i="1" a="1"/>
  <c r="K1261" i="1" s="1"/>
  <c r="L1263" i="1" a="1"/>
  <c r="L1263" i="1" s="1"/>
  <c r="J1263" i="1" a="1"/>
  <c r="J1263" i="1" s="1"/>
  <c r="K1253" i="1" a="1"/>
  <c r="K1253" i="1" s="1"/>
  <c r="K1251" i="1" a="1"/>
  <c r="K1251" i="1" s="1"/>
  <c r="J1253" i="1" a="1"/>
  <c r="J1253" i="1" s="1"/>
  <c r="J1250" i="1" a="1"/>
  <c r="J1250" i="1" s="1"/>
  <c r="L1252" i="1" a="1"/>
  <c r="L1252" i="1" s="1"/>
  <c r="L1250" i="1" a="1"/>
  <c r="L1250" i="1" s="1"/>
  <c r="K1250" i="1" a="1"/>
  <c r="K1250" i="1" s="1"/>
  <c r="L1249" i="1" a="1"/>
  <c r="L1249" i="1" s="1"/>
  <c r="J1252" i="1" a="1"/>
  <c r="J1252" i="1" s="1"/>
  <c r="K1249" i="1" a="1"/>
  <c r="K1249" i="1" s="1"/>
  <c r="K1258" i="1" a="1"/>
  <c r="K1258" i="1" s="1"/>
  <c r="J1257" i="1" a="1"/>
  <c r="J1257" i="1" s="1"/>
  <c r="J1258" i="1" a="1"/>
  <c r="J1258" i="1" s="1"/>
  <c r="L1257" i="1" a="1"/>
  <c r="L1257" i="1" s="1"/>
  <c r="K1257" i="1" a="1"/>
  <c r="K1257" i="1" s="1"/>
  <c r="L1256" i="1" a="1"/>
  <c r="L1256" i="1" s="1"/>
  <c r="K1256" i="1" a="1"/>
  <c r="K1256" i="1" s="1"/>
  <c r="J1256" i="1" a="1"/>
  <c r="J1256" i="1" s="1"/>
  <c r="K1252" i="1" a="1"/>
  <c r="K1252" i="1" s="1"/>
  <c r="K1254" i="1" a="1"/>
  <c r="K1254" i="1" s="1"/>
  <c r="L1255" i="1" a="1"/>
  <c r="L1255" i="1" s="1"/>
  <c r="L1251" i="1" a="1"/>
  <c r="L1251" i="1" s="1"/>
  <c r="J1255" i="1" a="1"/>
  <c r="J1255" i="1" s="1"/>
  <c r="J1251" i="1" a="1"/>
  <c r="J1251" i="1" s="1"/>
  <c r="K1255" i="1" a="1"/>
  <c r="K1255" i="1" s="1"/>
  <c r="L1254" i="1" a="1"/>
  <c r="L1254" i="1" s="1"/>
  <c r="J1254" i="1" a="1"/>
  <c r="J1254" i="1" s="1"/>
  <c r="L1253" i="1" a="1"/>
  <c r="L1253" i="1" s="1"/>
  <c r="J1249" i="1" a="1"/>
  <c r="J1249" i="1" s="1"/>
  <c r="K1243" i="1" a="1"/>
  <c r="K1243" i="1" s="1"/>
  <c r="K1245" i="1" a="1"/>
  <c r="K1245" i="1" s="1"/>
  <c r="L1241" i="1" a="1"/>
  <c r="L1241" i="1" s="1"/>
  <c r="L1248" i="1" a="1"/>
  <c r="L1248" i="1" s="1"/>
  <c r="K1248" i="1" a="1"/>
  <c r="K1248" i="1" s="1"/>
  <c r="L1245" i="1" a="1"/>
  <c r="L1245" i="1" s="1"/>
  <c r="K1244" i="1" a="1"/>
  <c r="K1244" i="1" s="1"/>
  <c r="L1247" i="1" a="1"/>
  <c r="L1247" i="1" s="1"/>
  <c r="J1245" i="1" a="1"/>
  <c r="J1245" i="1" s="1"/>
  <c r="J1244" i="1" a="1"/>
  <c r="J1244" i="1" s="1"/>
  <c r="J1243" i="1" a="1"/>
  <c r="J1243" i="1" s="1"/>
  <c r="K1241" i="1" a="1"/>
  <c r="K1241" i="1" s="1"/>
  <c r="L1240" i="1" a="1"/>
  <c r="L1240" i="1" s="1"/>
  <c r="L1246" i="1" a="1"/>
  <c r="L1246" i="1" s="1"/>
  <c r="K1240" i="1" a="1"/>
  <c r="K1240" i="1" s="1"/>
  <c r="J1240" i="1" a="1"/>
  <c r="J1240" i="1" s="1"/>
  <c r="J1247" i="1" a="1"/>
  <c r="J1247" i="1" s="1"/>
  <c r="J1246" i="1" a="1"/>
  <c r="J1246" i="1" s="1"/>
  <c r="J1241" i="1" a="1"/>
  <c r="J1241" i="1" s="1"/>
  <c r="L1242" i="1" a="1"/>
  <c r="L1242" i="1" s="1"/>
  <c r="J1242" i="1" a="1"/>
  <c r="J1242" i="1" s="1"/>
  <c r="K1246" i="1" a="1"/>
  <c r="K1246" i="1" s="1"/>
  <c r="J1248" i="1" a="1"/>
  <c r="J1248" i="1" s="1"/>
  <c r="K1247" i="1" a="1"/>
  <c r="K1247" i="1" s="1"/>
  <c r="L1243" i="1" a="1"/>
  <c r="L1243" i="1" s="1"/>
  <c r="K1242" i="1" a="1"/>
  <c r="K1242" i="1" s="1"/>
  <c r="L1244" i="1" a="1"/>
  <c r="L1244" i="1" s="1"/>
  <c r="J1235" i="1" a="1"/>
  <c r="J1235" i="1" s="1"/>
  <c r="J1234" i="1" a="1"/>
  <c r="J1234" i="1" s="1"/>
  <c r="L1239" i="1" a="1"/>
  <c r="L1239" i="1" s="1"/>
  <c r="J1239" i="1" a="1"/>
  <c r="J1239" i="1" s="1"/>
  <c r="L1235" i="1" a="1"/>
  <c r="L1235" i="1" s="1"/>
  <c r="L1238" i="1" a="1"/>
  <c r="L1238" i="1" s="1"/>
  <c r="K1237" i="1" a="1"/>
  <c r="K1237" i="1" s="1"/>
  <c r="L1236" i="1" a="1"/>
  <c r="L1236" i="1" s="1"/>
  <c r="K1234" i="1" a="1"/>
  <c r="K1234" i="1" s="1"/>
  <c r="L1233" i="1" a="1"/>
  <c r="L1233" i="1" s="1"/>
  <c r="J1238" i="1" a="1"/>
  <c r="J1238" i="1" s="1"/>
  <c r="J1236" i="1" a="1"/>
  <c r="J1236" i="1" s="1"/>
  <c r="K1238" i="1" a="1"/>
  <c r="K1238" i="1" s="1"/>
  <c r="L1232" i="1" a="1"/>
  <c r="L1232" i="1" s="1"/>
  <c r="K1239" i="1" a="1"/>
  <c r="K1239" i="1" s="1"/>
  <c r="J1237" i="1" a="1"/>
  <c r="J1237" i="1" s="1"/>
  <c r="K1233" i="1" a="1"/>
  <c r="K1233" i="1" s="1"/>
  <c r="L1234" i="1" a="1"/>
  <c r="L1234" i="1" s="1"/>
  <c r="K1236" i="1" a="1"/>
  <c r="K1236" i="1" s="1"/>
  <c r="J1233" i="1" a="1"/>
  <c r="J1233" i="1" s="1"/>
  <c r="K1235" i="1" a="1"/>
  <c r="K1235" i="1" s="1"/>
  <c r="L1237" i="1" a="1"/>
  <c r="L1237" i="1" s="1"/>
  <c r="L1231" i="1" a="1"/>
  <c r="L1231" i="1" s="1"/>
  <c r="K1231" i="1" a="1"/>
  <c r="K1231" i="1" s="1"/>
  <c r="J1226" i="1" a="1"/>
  <c r="J1226" i="1" s="1"/>
  <c r="L1226" i="1" a="1"/>
  <c r="L1226" i="1" s="1"/>
  <c r="K1226" i="1" a="1"/>
  <c r="K1226" i="1" s="1"/>
  <c r="L1223" i="1" a="1"/>
  <c r="L1223" i="1" s="1"/>
  <c r="J1231" i="1" a="1"/>
  <c r="J1231" i="1" s="1"/>
  <c r="J1229" i="1" a="1"/>
  <c r="J1229" i="1" s="1"/>
  <c r="K1224" i="1" a="1"/>
  <c r="K1224" i="1" s="1"/>
  <c r="L1230" i="1" a="1"/>
  <c r="L1230" i="1" s="1"/>
  <c r="L1229" i="1" a="1"/>
  <c r="L1229" i="1" s="1"/>
  <c r="L1227" i="1" a="1"/>
  <c r="L1227" i="1" s="1"/>
  <c r="J1225" i="1" a="1"/>
  <c r="J1225" i="1" s="1"/>
  <c r="K1229" i="1" a="1"/>
  <c r="K1229" i="1" s="1"/>
  <c r="L1224" i="1" a="1"/>
  <c r="L1224" i="1" s="1"/>
  <c r="J1230" i="1" a="1"/>
  <c r="J1230" i="1" s="1"/>
  <c r="J1227" i="1" a="1"/>
  <c r="J1227" i="1" s="1"/>
  <c r="L1225" i="1" a="1"/>
  <c r="L1225" i="1" s="1"/>
  <c r="J1224" i="1" a="1"/>
  <c r="J1224" i="1" s="1"/>
  <c r="K1232" i="1" a="1"/>
  <c r="K1232" i="1" s="1"/>
  <c r="J1232" i="1" a="1"/>
  <c r="J1232" i="1" s="1"/>
  <c r="K1228" i="1" a="1"/>
  <c r="K1228" i="1" s="1"/>
  <c r="L1228" i="1" a="1"/>
  <c r="L1228" i="1" s="1"/>
  <c r="J1228" i="1" a="1"/>
  <c r="J1228" i="1" s="1"/>
  <c r="K1230" i="1" a="1"/>
  <c r="K1230" i="1" s="1"/>
  <c r="K1223" i="1" a="1"/>
  <c r="K1223" i="1" s="1"/>
  <c r="K1227" i="1" a="1"/>
  <c r="K1227" i="1" s="1"/>
  <c r="K1225" i="1" a="1"/>
  <c r="K1225" i="1" s="1"/>
  <c r="K1218" i="1" a="1"/>
  <c r="K1218" i="1" s="1"/>
  <c r="J1218" i="1" a="1"/>
  <c r="J1218" i="1" s="1"/>
  <c r="L1216" i="1" a="1"/>
  <c r="L1216" i="1" s="1"/>
  <c r="J1217" i="1" a="1"/>
  <c r="J1217" i="1" s="1"/>
  <c r="L1218" i="1" a="1"/>
  <c r="L1218" i="1" s="1"/>
  <c r="K1217" i="1" a="1"/>
  <c r="K1217" i="1" s="1"/>
  <c r="K1216" i="1" a="1"/>
  <c r="K1216" i="1" s="1"/>
  <c r="L1217" i="1" a="1"/>
  <c r="L1217" i="1" s="1"/>
  <c r="J1220" i="1" a="1"/>
  <c r="J1220" i="1" s="1"/>
  <c r="J1215" i="1" a="1"/>
  <c r="J1215" i="1" s="1"/>
  <c r="K1215" i="1" a="1"/>
  <c r="K1215" i="1" s="1"/>
  <c r="J1223" i="1" a="1"/>
  <c r="J1223" i="1" s="1"/>
  <c r="J1216" i="1" a="1"/>
  <c r="J1216" i="1" s="1"/>
  <c r="L1215" i="1" a="1"/>
  <c r="L1215" i="1" s="1"/>
  <c r="K1222" i="1" a="1"/>
  <c r="K1222" i="1" s="1"/>
  <c r="L1219" i="1" a="1"/>
  <c r="L1219" i="1" s="1"/>
  <c r="J1222" i="1" a="1"/>
  <c r="J1222" i="1" s="1"/>
  <c r="K1220" i="1" a="1"/>
  <c r="K1220" i="1" s="1"/>
  <c r="J1219" i="1" a="1"/>
  <c r="J1219" i="1" s="1"/>
  <c r="L1222" i="1" a="1"/>
  <c r="L1222" i="1" s="1"/>
  <c r="K1219" i="1" a="1"/>
  <c r="K1219" i="1" s="1"/>
  <c r="L1221" i="1" a="1"/>
  <c r="L1221" i="1" s="1"/>
  <c r="K1221" i="1" a="1"/>
  <c r="K1221" i="1" s="1"/>
  <c r="J1221" i="1" a="1"/>
  <c r="J1221" i="1" s="1"/>
  <c r="L1220" i="1" a="1"/>
  <c r="L1220" i="1" s="1"/>
  <c r="J1202" i="1" a="1"/>
  <c r="J1202" i="1" s="1"/>
  <c r="L1214" i="1" a="1"/>
  <c r="L1214" i="1" s="1"/>
  <c r="K1214" i="1" a="1"/>
  <c r="K1214" i="1" s="1"/>
  <c r="L1212" i="1" a="1"/>
  <c r="L1212" i="1" s="1"/>
  <c r="K1212" i="1" a="1"/>
  <c r="K1212" i="1" s="1"/>
  <c r="J1212" i="1" a="1"/>
  <c r="J1212" i="1" s="1"/>
  <c r="J1208" i="1" a="1"/>
  <c r="J1208" i="1" s="1"/>
  <c r="K1211" i="1" a="1"/>
  <c r="K1211" i="1" s="1"/>
  <c r="L1209" i="1" a="1"/>
  <c r="L1209" i="1" s="1"/>
  <c r="K1208" i="1" a="1"/>
  <c r="K1208" i="1" s="1"/>
  <c r="K1202" i="1" a="1"/>
  <c r="K1202" i="1" s="1"/>
  <c r="L1202" i="1" a="1"/>
  <c r="L1202" i="1" s="1"/>
  <c r="L1211" i="1" a="1"/>
  <c r="L1211" i="1" s="1"/>
  <c r="J1210" i="1" a="1"/>
  <c r="J1210" i="1" s="1"/>
  <c r="J1214" i="1" a="1"/>
  <c r="J1214" i="1" s="1"/>
  <c r="K1209" i="1" a="1"/>
  <c r="K1209" i="1" s="1"/>
  <c r="L1210" i="1" a="1"/>
  <c r="L1210" i="1" s="1"/>
  <c r="J1211" i="1" a="1"/>
  <c r="J1211" i="1" s="1"/>
  <c r="K1210" i="1" a="1"/>
  <c r="K1210" i="1" s="1"/>
  <c r="J1209" i="1" a="1"/>
  <c r="J1209" i="1" s="1"/>
  <c r="L1208" i="1" a="1"/>
  <c r="L1208" i="1" s="1"/>
  <c r="L1195" i="1" a="1"/>
  <c r="L1195" i="1" s="1"/>
  <c r="L1200" i="1" a="1"/>
  <c r="L1200" i="1" s="1"/>
  <c r="L1197" i="1" a="1"/>
  <c r="L1197" i="1" s="1"/>
  <c r="L1198" i="1" a="1"/>
  <c r="L1198" i="1" s="1"/>
  <c r="J1194" i="1" a="1"/>
  <c r="J1194" i="1" s="1"/>
  <c r="L1196" i="1" a="1"/>
  <c r="L1196" i="1" s="1"/>
  <c r="K1198" i="1" a="1"/>
  <c r="K1198" i="1" s="1"/>
  <c r="J1199" i="1" a="1"/>
  <c r="J1199" i="1" s="1"/>
  <c r="K1197" i="1" a="1"/>
  <c r="K1197" i="1" s="1"/>
  <c r="K1200" i="1" a="1"/>
  <c r="K1200" i="1" s="1"/>
  <c r="J1195" i="1" a="1"/>
  <c r="J1195" i="1" s="1"/>
  <c r="J1197" i="1" a="1"/>
  <c r="J1197" i="1" s="1"/>
  <c r="J1201" i="1" a="1"/>
  <c r="J1201" i="1" s="1"/>
  <c r="L1199" i="1" a="1"/>
  <c r="L1199" i="1" s="1"/>
  <c r="J1200" i="1" a="1"/>
  <c r="J1200" i="1" s="1"/>
  <c r="K1193" i="1" a="1"/>
  <c r="K1193" i="1" s="1"/>
  <c r="J1196" i="1" a="1"/>
  <c r="J1196" i="1" s="1"/>
  <c r="J1193" i="1" a="1"/>
  <c r="J1193" i="1" s="1"/>
  <c r="K1195" i="1" a="1"/>
  <c r="K1195" i="1" s="1"/>
  <c r="L1194" i="1" a="1"/>
  <c r="L1194" i="1" s="1"/>
  <c r="L1193" i="1" a="1"/>
  <c r="L1193" i="1" s="1"/>
  <c r="L1201" i="1" a="1"/>
  <c r="L1201" i="1" s="1"/>
  <c r="K1194" i="1" a="1"/>
  <c r="K1194" i="1" s="1"/>
  <c r="K1201" i="1" a="1"/>
  <c r="K1201" i="1" s="1"/>
  <c r="J1198" i="1" a="1"/>
  <c r="J1198" i="1" s="1"/>
  <c r="K1196" i="1" a="1"/>
  <c r="K1196" i="1" s="1"/>
  <c r="K1199" i="1" a="1"/>
  <c r="K1199" i="1" s="1"/>
  <c r="L1192" i="1" a="1"/>
  <c r="L1192" i="1" s="1"/>
  <c r="K1185" i="1" a="1"/>
  <c r="K1185" i="1" s="1"/>
  <c r="L1187" i="1" a="1"/>
  <c r="L1187" i="1" s="1"/>
  <c r="L1185" i="1" a="1"/>
  <c r="L1185" i="1" s="1"/>
  <c r="L1190" i="1" a="1"/>
  <c r="L1190" i="1" s="1"/>
  <c r="J1187" i="1" a="1"/>
  <c r="J1187" i="1" s="1"/>
  <c r="J1190" i="1" a="1"/>
  <c r="J1190" i="1" s="1"/>
  <c r="K1189" i="1" a="1"/>
  <c r="K1189" i="1" s="1"/>
  <c r="K1186" i="1" a="1"/>
  <c r="K1186" i="1" s="1"/>
  <c r="K1187" i="1" a="1"/>
  <c r="K1187" i="1" s="1"/>
  <c r="L1191" i="1" a="1"/>
  <c r="L1191" i="1" s="1"/>
  <c r="K1191" i="1" a="1"/>
  <c r="K1191" i="1" s="1"/>
  <c r="K1188" i="1" a="1"/>
  <c r="K1188" i="1" s="1"/>
  <c r="J1189" i="1" a="1"/>
  <c r="J1189" i="1" s="1"/>
  <c r="K1190" i="1" a="1"/>
  <c r="K1190" i="1" s="1"/>
  <c r="J1186" i="1" a="1"/>
  <c r="J1186" i="1" s="1"/>
  <c r="K1192" i="1" a="1"/>
  <c r="K1192" i="1" s="1"/>
  <c r="J1192" i="1" a="1"/>
  <c r="J1192" i="1" s="1"/>
  <c r="J1188" i="1" a="1"/>
  <c r="J1188" i="1" s="1"/>
  <c r="J1185" i="1" a="1"/>
  <c r="J1185" i="1" s="1"/>
  <c r="L1186" i="1" a="1"/>
  <c r="L1186" i="1" s="1"/>
  <c r="J1191" i="1" a="1"/>
  <c r="J1191" i="1" s="1"/>
  <c r="L1189" i="1" a="1"/>
  <c r="L1189" i="1" s="1"/>
  <c r="L1188" i="1" a="1"/>
  <c r="L1188" i="1" s="1"/>
  <c r="L1660" i="1" a="1"/>
  <c r="L1660" i="1" s="1"/>
  <c r="J1660" i="1" a="1"/>
  <c r="J1660" i="1" s="1"/>
  <c r="L1661" i="1" a="1"/>
  <c r="L1661" i="1" s="1"/>
  <c r="K1661" i="1" a="1"/>
  <c r="K1661" i="1" s="1"/>
  <c r="K1660" i="1" a="1"/>
  <c r="K1660" i="1" s="1"/>
  <c r="J1661" i="1" a="1"/>
  <c r="J1661" i="1" s="1"/>
  <c r="J1642" i="1" a="1"/>
  <c r="J1642" i="1" s="1"/>
  <c r="L1646" i="1" a="1"/>
  <c r="L1646" i="1" s="1"/>
  <c r="K1646" i="1" a="1"/>
  <c r="K1646" i="1" s="1"/>
  <c r="L1643" i="1" a="1"/>
  <c r="L1643" i="1" s="1"/>
  <c r="L1642" i="1" a="1"/>
  <c r="L1642" i="1" s="1"/>
  <c r="K1643" i="1" a="1"/>
  <c r="K1643" i="1" s="1"/>
  <c r="J1643" i="1" a="1"/>
  <c r="J1643" i="1" s="1"/>
  <c r="K1642" i="1" a="1"/>
  <c r="K1642" i="1" s="1"/>
  <c r="J1646" i="1" a="1"/>
  <c r="J1646" i="1" s="1"/>
  <c r="J1654" i="1" a="1"/>
  <c r="J1654" i="1" s="1"/>
  <c r="L1654" i="1" a="1"/>
  <c r="L1654" i="1" s="1"/>
  <c r="K1654" i="1" a="1"/>
  <c r="K1654" i="1" s="1"/>
  <c r="K1662" i="1" a="1"/>
  <c r="K1662" i="1" s="1"/>
  <c r="L1667" i="1" a="1"/>
  <c r="L1667" i="1" s="1"/>
  <c r="K1667" i="1" a="1"/>
  <c r="K1667" i="1" s="1"/>
  <c r="J1667" i="1" a="1"/>
  <c r="J1667" i="1" s="1"/>
  <c r="L1662" i="1" a="1"/>
  <c r="L1662" i="1" s="1"/>
  <c r="J1662" i="1" a="1"/>
  <c r="J1662" i="1" s="1"/>
  <c r="K1647" i="1" a="1"/>
  <c r="K1647" i="1" s="1"/>
  <c r="L1647" i="1" a="1"/>
  <c r="L1647" i="1" s="1"/>
  <c r="J1647" i="1" a="1"/>
  <c r="J1647" i="1" s="1"/>
  <c r="L1629" i="1" a="1"/>
  <c r="L1629" i="1" s="1"/>
  <c r="J1629" i="1" a="1"/>
  <c r="J1629" i="1" s="1"/>
  <c r="L1628" i="1" a="1"/>
  <c r="L1628" i="1" s="1"/>
  <c r="K1628" i="1" a="1"/>
  <c r="K1628" i="1" s="1"/>
  <c r="J1628" i="1" a="1"/>
  <c r="J1628" i="1" s="1"/>
  <c r="K1629" i="1" a="1"/>
  <c r="K1629" i="1" s="1"/>
  <c r="J1627" i="1" a="1"/>
  <c r="J1627" i="1" s="1"/>
  <c r="L1627" i="1" a="1"/>
  <c r="L1627" i="1" s="1"/>
  <c r="K1627" i="1" a="1"/>
  <c r="K1627" i="1" s="1"/>
  <c r="J1626" i="1" a="1"/>
  <c r="J1626" i="1" s="1"/>
  <c r="L1626" i="1" a="1"/>
  <c r="L1626" i="1" s="1"/>
  <c r="K1626" i="1" a="1"/>
  <c r="K1626" i="1" s="1"/>
  <c r="L1623" i="1" a="1"/>
  <c r="L1623" i="1" s="1"/>
  <c r="K1624" i="1" a="1"/>
  <c r="K1624" i="1" s="1"/>
  <c r="L1625" i="1" a="1"/>
  <c r="L1625" i="1" s="1"/>
  <c r="J1625" i="1" a="1"/>
  <c r="J1625" i="1" s="1"/>
  <c r="K1625" i="1" a="1"/>
  <c r="K1625" i="1" s="1"/>
  <c r="J1623" i="1" a="1"/>
  <c r="J1623" i="1" s="1"/>
  <c r="K1623" i="1" a="1"/>
  <c r="K1623" i="1" s="1"/>
  <c r="L1624" i="1" a="1"/>
  <c r="L1624" i="1" s="1"/>
  <c r="J1624" i="1" a="1"/>
  <c r="J1624" i="1" s="1"/>
  <c r="L1622" i="1" a="1"/>
  <c r="L1622" i="1" s="1"/>
  <c r="J1621" i="1" a="1"/>
  <c r="J1621" i="1" s="1"/>
  <c r="J1622" i="1" a="1"/>
  <c r="J1622" i="1" s="1"/>
  <c r="K1621" i="1" a="1"/>
  <c r="K1621" i="1" s="1"/>
  <c r="K1622" i="1" a="1"/>
  <c r="K1622" i="1" s="1"/>
  <c r="L1621" i="1" a="1"/>
  <c r="L1621" i="1" s="1"/>
  <c r="L1619" i="1" a="1"/>
  <c r="L1619" i="1" s="1"/>
  <c r="J1619" i="1" a="1"/>
  <c r="J1619" i="1" s="1"/>
  <c r="K1619" i="1" a="1"/>
  <c r="K1619" i="1" s="1"/>
  <c r="J1613" i="1" a="1"/>
  <c r="J1613" i="1" s="1"/>
  <c r="L1613" i="1" a="1"/>
  <c r="L1613" i="1" s="1"/>
  <c r="L1612" i="1" a="1"/>
  <c r="L1612" i="1" s="1"/>
  <c r="K1613" i="1" a="1"/>
  <c r="K1613" i="1" s="1"/>
  <c r="K1612" i="1" a="1"/>
  <c r="K1612" i="1" s="1"/>
  <c r="J1612" i="1" a="1"/>
  <c r="J1612" i="1" s="1"/>
  <c r="L1611" i="1" a="1"/>
  <c r="L1611" i="1" s="1"/>
  <c r="K1611" i="1" a="1"/>
  <c r="K1611" i="1" s="1"/>
  <c r="K1605" i="1" a="1"/>
  <c r="K1605" i="1" s="1"/>
  <c r="J1605" i="1" a="1"/>
  <c r="J1605" i="1" s="1"/>
  <c r="J1611" i="1" a="1"/>
  <c r="J1611" i="1" s="1"/>
  <c r="L1605" i="1" a="1"/>
  <c r="L1605" i="1" s="1"/>
  <c r="L1604" i="1" a="1"/>
  <c r="L1604" i="1" s="1"/>
  <c r="K1604" i="1" a="1"/>
  <c r="K1604" i="1" s="1"/>
  <c r="J1604" i="1" a="1"/>
  <c r="J1604" i="1" s="1"/>
  <c r="J1596" i="1" a="1"/>
  <c r="J1596" i="1" s="1"/>
  <c r="L1596" i="1" a="1"/>
  <c r="L1596" i="1" s="1"/>
  <c r="L1598" i="1" a="1"/>
  <c r="L1598" i="1" s="1"/>
  <c r="K1598" i="1" a="1"/>
  <c r="K1598" i="1" s="1"/>
  <c r="J1598" i="1" a="1"/>
  <c r="J1598" i="1" s="1"/>
  <c r="K1596" i="1" a="1"/>
  <c r="K1596" i="1" s="1"/>
  <c r="J1595" i="1" a="1"/>
  <c r="J1595" i="1" s="1"/>
  <c r="L1595" i="1" a="1"/>
  <c r="L1595" i="1" s="1"/>
  <c r="K1595" i="1" a="1"/>
  <c r="K1595" i="1" s="1"/>
  <c r="K1581" i="1" a="1"/>
  <c r="K1581" i="1" s="1"/>
  <c r="J1582" i="1" a="1"/>
  <c r="J1582" i="1" s="1"/>
  <c r="J1581" i="1" a="1"/>
  <c r="J1581" i="1" s="1"/>
  <c r="L1582" i="1" a="1"/>
  <c r="L1582" i="1" s="1"/>
  <c r="L1581" i="1" a="1"/>
  <c r="L1581" i="1" s="1"/>
  <c r="K1582" i="1" a="1"/>
  <c r="K1582" i="1" s="1"/>
  <c r="K1580" i="1" a="1"/>
  <c r="K1580" i="1" s="1"/>
  <c r="J1580" i="1" a="1"/>
  <c r="J1580" i="1" s="1"/>
  <c r="L1580" i="1" a="1"/>
  <c r="L1580" i="1" s="1"/>
  <c r="J1579" i="1" a="1"/>
  <c r="J1579" i="1" s="1"/>
  <c r="K1578" i="1" a="1"/>
  <c r="K1578" i="1" s="1"/>
  <c r="L1577" i="1" a="1"/>
  <c r="L1577" i="1" s="1"/>
  <c r="K1577" i="1" a="1"/>
  <c r="K1577" i="1" s="1"/>
  <c r="L1578" i="1" a="1"/>
  <c r="L1578" i="1" s="1"/>
  <c r="L1576" i="1" a="1"/>
  <c r="L1576" i="1" s="1"/>
  <c r="J1576" i="1" a="1"/>
  <c r="J1576" i="1" s="1"/>
  <c r="J1577" i="1" a="1"/>
  <c r="J1577" i="1" s="1"/>
  <c r="L1579" i="1" a="1"/>
  <c r="L1579" i="1" s="1"/>
  <c r="K1576" i="1" a="1"/>
  <c r="K1576" i="1" s="1"/>
  <c r="K1579" i="1" a="1"/>
  <c r="K1579" i="1" s="1"/>
  <c r="J1578" i="1" a="1"/>
  <c r="J1578" i="1" s="1"/>
  <c r="J1565" i="1" a="1"/>
  <c r="J1565" i="1" s="1"/>
  <c r="K1572" i="1" a="1"/>
  <c r="K1572" i="1" s="1"/>
  <c r="L1565" i="1" a="1"/>
  <c r="L1565" i="1" s="1"/>
  <c r="L1564" i="1" a="1"/>
  <c r="L1564" i="1" s="1"/>
  <c r="K1564" i="1" a="1"/>
  <c r="K1564" i="1" s="1"/>
  <c r="L1566" i="1" a="1"/>
  <c r="L1566" i="1" s="1"/>
  <c r="K1566" i="1" a="1"/>
  <c r="K1566" i="1" s="1"/>
  <c r="K1565" i="1" a="1"/>
  <c r="K1565" i="1" s="1"/>
  <c r="J1564" i="1" a="1"/>
  <c r="J1564" i="1" s="1"/>
  <c r="J1574" i="1" a="1"/>
  <c r="J1574" i="1" s="1"/>
  <c r="L1575" i="1" a="1"/>
  <c r="L1575" i="1" s="1"/>
  <c r="K1574" i="1" a="1"/>
  <c r="K1574" i="1" s="1"/>
  <c r="K1575" i="1" a="1"/>
  <c r="K1575" i="1" s="1"/>
  <c r="J1575" i="1" a="1"/>
  <c r="J1575" i="1" s="1"/>
  <c r="L1574" i="1" a="1"/>
  <c r="L1574" i="1" s="1"/>
  <c r="J1566" i="1" a="1"/>
  <c r="J1566" i="1" s="1"/>
  <c r="L1572" i="1" a="1"/>
  <c r="L1572" i="1" s="1"/>
  <c r="J1572" i="1" a="1"/>
  <c r="J1572" i="1" s="1"/>
  <c r="K1558" i="1" a="1"/>
  <c r="K1558" i="1" s="1"/>
  <c r="L1551" i="1" a="1"/>
  <c r="L1551" i="1" s="1"/>
  <c r="K1551" i="1" a="1"/>
  <c r="K1551" i="1" s="1"/>
  <c r="J1551" i="1" a="1"/>
  <c r="J1551" i="1" s="1"/>
  <c r="K1549" i="1" a="1"/>
  <c r="K1549" i="1" s="1"/>
  <c r="J1549" i="1" a="1"/>
  <c r="J1549" i="1" s="1"/>
  <c r="J1558" i="1" a="1"/>
  <c r="J1558" i="1" s="1"/>
  <c r="L1557" i="1" a="1"/>
  <c r="L1557" i="1" s="1"/>
  <c r="L1558" i="1" a="1"/>
  <c r="L1558" i="1" s="1"/>
  <c r="K1548" i="1" a="1"/>
  <c r="K1548" i="1" s="1"/>
  <c r="J1557" i="1" a="1"/>
  <c r="J1557" i="1" s="1"/>
  <c r="K1557" i="1" a="1"/>
  <c r="K1557" i="1" s="1"/>
  <c r="L1549" i="1" a="1"/>
  <c r="L1549" i="1" s="1"/>
  <c r="L1548" i="1" a="1"/>
  <c r="L1548" i="1" s="1"/>
  <c r="L1531" i="1" a="1"/>
  <c r="L1531" i="1" s="1"/>
  <c r="J1548" i="1" a="1"/>
  <c r="J1548" i="1" s="1"/>
  <c r="J1531" i="1" a="1"/>
  <c r="J1531" i="1" s="1"/>
  <c r="K1531" i="1" a="1"/>
  <c r="K1531" i="1" s="1"/>
  <c r="L1530" i="1" a="1"/>
  <c r="L1530" i="1" s="1"/>
  <c r="K1530" i="1" a="1"/>
  <c r="K1530" i="1" s="1"/>
  <c r="J1530" i="1" a="1"/>
  <c r="J1530" i="1" s="1"/>
  <c r="L1528" i="1" a="1"/>
  <c r="L1528" i="1" s="1"/>
  <c r="J1528" i="1" a="1"/>
  <c r="J1528" i="1" s="1"/>
  <c r="L1527" i="1" a="1"/>
  <c r="L1527" i="1" s="1"/>
  <c r="J1527" i="1" a="1"/>
  <c r="J1527" i="1" s="1"/>
  <c r="J1529" i="1" a="1"/>
  <c r="J1529" i="1" s="1"/>
  <c r="K1528" i="1" a="1"/>
  <c r="K1528" i="1" s="1"/>
  <c r="L1529" i="1" a="1"/>
  <c r="L1529" i="1" s="1"/>
  <c r="K1529" i="1" a="1"/>
  <c r="K1529" i="1" s="1"/>
  <c r="K1527" i="1" a="1"/>
  <c r="K1527" i="1" s="1"/>
  <c r="L1523" i="1" a="1"/>
  <c r="L1523" i="1" s="1"/>
  <c r="K1522" i="1" a="1"/>
  <c r="K1522" i="1" s="1"/>
  <c r="J1525" i="1" a="1"/>
  <c r="J1525" i="1" s="1"/>
  <c r="L1524" i="1" a="1"/>
  <c r="L1524" i="1" s="1"/>
  <c r="J1524" i="1" a="1"/>
  <c r="J1524" i="1" s="1"/>
  <c r="K1523" i="1" a="1"/>
  <c r="K1523" i="1" s="1"/>
  <c r="J1523" i="1" a="1"/>
  <c r="J1523" i="1" s="1"/>
  <c r="K1525" i="1" a="1"/>
  <c r="K1525" i="1" s="1"/>
  <c r="L1526" i="1" a="1"/>
  <c r="L1526" i="1" s="1"/>
  <c r="K1526" i="1" a="1"/>
  <c r="K1526" i="1" s="1"/>
  <c r="J1522" i="1" a="1"/>
  <c r="J1522" i="1" s="1"/>
  <c r="J1526" i="1" a="1"/>
  <c r="J1526" i="1" s="1"/>
  <c r="L1521" i="1" a="1"/>
  <c r="L1521" i="1" s="1"/>
  <c r="L1525" i="1" a="1"/>
  <c r="L1525" i="1" s="1"/>
  <c r="L1522" i="1" a="1"/>
  <c r="L1522" i="1" s="1"/>
  <c r="K1524" i="1" a="1"/>
  <c r="K1524" i="1" s="1"/>
  <c r="K1519" i="1" a="1"/>
  <c r="K1519" i="1" s="1"/>
  <c r="J1517" i="1" a="1"/>
  <c r="J1517" i="1" s="1"/>
  <c r="K1521" i="1" a="1"/>
  <c r="K1521" i="1" s="1"/>
  <c r="L1516" i="1" a="1"/>
  <c r="L1516" i="1" s="1"/>
  <c r="J1520" i="1" a="1"/>
  <c r="J1520" i="1" s="1"/>
  <c r="J1521" i="1" a="1"/>
  <c r="J1521" i="1" s="1"/>
  <c r="L1517" i="1" a="1"/>
  <c r="L1517" i="1" s="1"/>
  <c r="L1519" i="1" a="1"/>
  <c r="L1519" i="1" s="1"/>
  <c r="L1520" i="1" a="1"/>
  <c r="L1520" i="1" s="1"/>
  <c r="K1520" i="1" a="1"/>
  <c r="K1520" i="1" s="1"/>
  <c r="K1517" i="1" a="1"/>
  <c r="K1517" i="1" s="1"/>
  <c r="J1519" i="1" a="1"/>
  <c r="J1519" i="1" s="1"/>
  <c r="K1516" i="1" a="1"/>
  <c r="K1516" i="1" s="1"/>
  <c r="J1516" i="1" a="1"/>
  <c r="J1516" i="1" s="1"/>
  <c r="L1515" i="1" a="1"/>
  <c r="L1515" i="1" s="1"/>
  <c r="K1515" i="1" a="1"/>
  <c r="K1515" i="1" s="1"/>
  <c r="J1515" i="1" a="1"/>
  <c r="J1515" i="1" s="1"/>
  <c r="L1514" i="1" a="1"/>
  <c r="L1514" i="1" s="1"/>
  <c r="K1507" i="1" a="1"/>
  <c r="K1507" i="1" s="1"/>
  <c r="L1513" i="1" a="1"/>
  <c r="L1513" i="1" s="1"/>
  <c r="L1507" i="1" a="1"/>
  <c r="L1507" i="1" s="1"/>
  <c r="K1514" i="1" a="1"/>
  <c r="K1514" i="1" s="1"/>
  <c r="J1514" i="1" a="1"/>
  <c r="J1514" i="1" s="1"/>
  <c r="K1513" i="1" a="1"/>
  <c r="K1513" i="1" s="1"/>
  <c r="J1507" i="1" a="1"/>
  <c r="J1507" i="1" s="1"/>
  <c r="J1513" i="1" a="1"/>
  <c r="J1513" i="1" s="1"/>
  <c r="L1505" i="1" a="1"/>
  <c r="L1505" i="1" s="1"/>
  <c r="K1506" i="1" a="1"/>
  <c r="K1506" i="1" s="1"/>
  <c r="L1506" i="1" a="1"/>
  <c r="L1506" i="1" s="1"/>
  <c r="K1505" i="1" a="1"/>
  <c r="K1505" i="1" s="1"/>
  <c r="J1505" i="1" a="1"/>
  <c r="J1505" i="1" s="1"/>
  <c r="J1506" i="1" a="1"/>
  <c r="J1506" i="1" s="1"/>
  <c r="J1504" i="1" a="1"/>
  <c r="J1504" i="1" s="1"/>
  <c r="L1504" i="1" a="1"/>
  <c r="L1504" i="1" s="1"/>
  <c r="K1504" i="1" a="1"/>
  <c r="K1504" i="1" s="1"/>
  <c r="J1501" i="1" a="1"/>
  <c r="J1501" i="1" s="1"/>
  <c r="J1502" i="1" a="1"/>
  <c r="J1502" i="1" s="1"/>
  <c r="L1502" i="1" a="1"/>
  <c r="L1502" i="1" s="1"/>
  <c r="K1502" i="1" a="1"/>
  <c r="K1502" i="1" s="1"/>
  <c r="K1501" i="1" a="1"/>
  <c r="K1501" i="1" s="1"/>
  <c r="L1501" i="1" a="1"/>
  <c r="L1501" i="1" s="1"/>
  <c r="J2018" i="1" a="1"/>
  <c r="J2018" i="1" s="1"/>
  <c r="L2016" i="1" a="1"/>
  <c r="L2016" i="1" s="1"/>
  <c r="L2017" i="1" s="1" a="1"/>
  <c r="L2017" i="1" s="1"/>
  <c r="J2013" i="1" a="1"/>
  <c r="J2013" i="1" s="1"/>
  <c r="J2014" i="1" s="1" a="1"/>
  <c r="J2014" i="1" s="1"/>
  <c r="J2011" i="1" a="1"/>
  <c r="J2011" i="1" s="1"/>
  <c r="L2015" i="1" a="1"/>
  <c r="L2015" i="1" s="1"/>
  <c r="J2015" i="1" a="1"/>
  <c r="J2015" i="1" s="1"/>
  <c r="L2013" i="1" a="1"/>
  <c r="L2013" i="1" s="1"/>
  <c r="L2014" i="1" s="1" a="1"/>
  <c r="L2014" i="1" s="1"/>
  <c r="K2010" i="1" a="1"/>
  <c r="K2010" i="1" s="1"/>
  <c r="K2011" i="1" a="1"/>
  <c r="K2011" i="1" s="1"/>
  <c r="K2016" i="1" a="1"/>
  <c r="K2016" i="1" s="1"/>
  <c r="K2017" i="1" s="1" a="1"/>
  <c r="K2017" i="1" s="1"/>
  <c r="L2010" i="1" a="1"/>
  <c r="L2010" i="1" s="1"/>
  <c r="J2016" i="1" a="1"/>
  <c r="J2016" i="1" s="1"/>
  <c r="J2017" i="1" s="1" a="1"/>
  <c r="J2017" i="1" s="1"/>
  <c r="K2015" i="1" a="1"/>
  <c r="K2015" i="1" s="1"/>
  <c r="K2013" i="1" a="1"/>
  <c r="K2013" i="1" s="1"/>
  <c r="K2014" i="1" s="1" a="1"/>
  <c r="K2014" i="1" s="1"/>
  <c r="L2011" i="1" a="1"/>
  <c r="L2011" i="1" s="1"/>
  <c r="J2010" i="1" a="1"/>
  <c r="J2010" i="1" s="1"/>
  <c r="J2231" i="1" a="1"/>
  <c r="J2231" i="1" s="1"/>
  <c r="K2231" i="1" a="1"/>
  <c r="K2231" i="1" s="1"/>
  <c r="J2232" i="1" a="1"/>
  <c r="J2232" i="1" s="1"/>
  <c r="J2226" i="1" a="1"/>
  <c r="J2226" i="1" s="1"/>
  <c r="L2231" i="1" a="1"/>
  <c r="L2231" i="1" s="1"/>
  <c r="J2229" i="1" a="1"/>
  <c r="J2229" i="1" s="1"/>
  <c r="J2230" i="1" s="1" a="1"/>
  <c r="J2230" i="1" s="1"/>
  <c r="J2227" i="1" a="1"/>
  <c r="J2227" i="1" s="1"/>
  <c r="J2228" i="1" s="1" a="1"/>
  <c r="J2228" i="1" s="1"/>
  <c r="K2229" i="1" a="1"/>
  <c r="K2229" i="1" s="1"/>
  <c r="K2230" i="1" s="1" a="1"/>
  <c r="K2230" i="1" s="1"/>
  <c r="K2227" i="1" a="1"/>
  <c r="K2227" i="1" s="1"/>
  <c r="K2228" i="1" s="1" a="1"/>
  <c r="K2228" i="1" s="1"/>
  <c r="K2226" i="1" a="1"/>
  <c r="K2226" i="1" s="1"/>
  <c r="K2232" i="1" a="1"/>
  <c r="K2232" i="1" s="1"/>
  <c r="L2229" i="1" a="1"/>
  <c r="L2229" i="1" s="1"/>
  <c r="L2230" i="1" s="1" a="1"/>
  <c r="L2230" i="1" s="1"/>
  <c r="L2232" i="1" a="1"/>
  <c r="L2232" i="1" s="1"/>
  <c r="L2227" i="1" a="1"/>
  <c r="L2227" i="1" s="1"/>
  <c r="L2228" i="1" s="1" a="1"/>
  <c r="L2228" i="1" s="1"/>
  <c r="L2226" i="1" a="1"/>
  <c r="L2226" i="1" s="1"/>
  <c r="L2224" i="1" a="1"/>
  <c r="L2224" i="1" s="1"/>
  <c r="L2225" i="1" s="1" a="1"/>
  <c r="L2225" i="1" s="1"/>
  <c r="K2221" i="1" a="1"/>
  <c r="K2221" i="1" s="1"/>
  <c r="L2219" i="1" a="1"/>
  <c r="L2219" i="1" s="1"/>
  <c r="L2220" i="1" s="1" a="1"/>
  <c r="L2220" i="1" s="1"/>
  <c r="K2222" i="1" a="1"/>
  <c r="K2222" i="1" s="1"/>
  <c r="K2216" i="1" a="1"/>
  <c r="K2216" i="1" s="1"/>
  <c r="J2217" i="1" a="1"/>
  <c r="J2217" i="1" s="1"/>
  <c r="J2218" i="1" s="1" a="1"/>
  <c r="J2218" i="1" s="1"/>
  <c r="K2219" i="1" a="1"/>
  <c r="K2219" i="1" s="1"/>
  <c r="K2220" i="1" s="1" a="1"/>
  <c r="K2220" i="1" s="1"/>
  <c r="J2219" i="1" a="1"/>
  <c r="J2219" i="1" s="1"/>
  <c r="J2220" i="1" s="1" a="1"/>
  <c r="J2220" i="1" s="1"/>
  <c r="K2217" i="1" a="1"/>
  <c r="K2217" i="1" s="1"/>
  <c r="K2218" i="1" s="1" a="1"/>
  <c r="K2218" i="1" s="1"/>
  <c r="L2216" i="1" a="1"/>
  <c r="L2216" i="1" s="1"/>
  <c r="L2221" i="1" a="1"/>
  <c r="L2221" i="1" s="1"/>
  <c r="J2216" i="1" a="1"/>
  <c r="J2216" i="1" s="1"/>
  <c r="J2222" i="1" a="1"/>
  <c r="J2222" i="1" s="1"/>
  <c r="L2217" i="1" a="1"/>
  <c r="L2217" i="1" s="1"/>
  <c r="L2218" i="1" s="1" a="1"/>
  <c r="L2218" i="1" s="1"/>
  <c r="K2224" i="1" a="1"/>
  <c r="K2224" i="1" s="1"/>
  <c r="K2225" i="1" s="1" a="1"/>
  <c r="K2225" i="1" s="1"/>
  <c r="L2222" i="1" a="1"/>
  <c r="L2222" i="1" s="1"/>
  <c r="J2221" i="1" a="1"/>
  <c r="J2221" i="1" s="1"/>
  <c r="J2224" i="1" a="1"/>
  <c r="J2224" i="1" s="1"/>
  <c r="J2225" i="1" s="1" a="1"/>
  <c r="J2225" i="1" s="1"/>
  <c r="J2211" i="1" a="1"/>
  <c r="J2211" i="1" s="1"/>
  <c r="K2210" i="1" a="1"/>
  <c r="K2210" i="1" s="1"/>
  <c r="K2209" i="1" a="1"/>
  <c r="K2209" i="1" s="1"/>
  <c r="K2207" i="1" a="1"/>
  <c r="K2207" i="1" s="1"/>
  <c r="L2206" i="1" a="1"/>
  <c r="L2206" i="1" s="1"/>
  <c r="L2209" i="1" a="1"/>
  <c r="L2209" i="1" s="1"/>
  <c r="J2210" i="1" a="1"/>
  <c r="J2210" i="1" s="1"/>
  <c r="K2205" i="1" a="1"/>
  <c r="K2205" i="1" s="1"/>
  <c r="J2205" i="1" a="1"/>
  <c r="J2205" i="1" s="1"/>
  <c r="K2206" i="1" a="1"/>
  <c r="K2206" i="1" s="1"/>
  <c r="L2214" i="1" a="1"/>
  <c r="L2214" i="1" s="1"/>
  <c r="L2215" i="1" s="1" a="1"/>
  <c r="L2215" i="1" s="1"/>
  <c r="K2214" i="1" a="1"/>
  <c r="K2214" i="1" s="1"/>
  <c r="K2215" i="1" s="1" a="1"/>
  <c r="K2215" i="1" s="1"/>
  <c r="J2214" i="1" a="1"/>
  <c r="J2214" i="1" s="1"/>
  <c r="J2215" i="1" s="1" a="1"/>
  <c r="J2215" i="1" s="1"/>
  <c r="L2207" i="1" a="1"/>
  <c r="L2207" i="1" s="1"/>
  <c r="J2209" i="1" a="1"/>
  <c r="J2209" i="1" s="1"/>
  <c r="J2207" i="1" a="1"/>
  <c r="J2207" i="1" s="1"/>
  <c r="J2212" i="1" a="1"/>
  <c r="J2212" i="1" s="1"/>
  <c r="K2211" i="1" a="1"/>
  <c r="K2211" i="1" s="1"/>
  <c r="L2205" i="1" a="1"/>
  <c r="L2205" i="1" s="1"/>
  <c r="J2208" i="1" a="1"/>
  <c r="J2208" i="1" s="1"/>
  <c r="J2206" i="1" a="1"/>
  <c r="J2206" i="1" s="1"/>
  <c r="L2212" i="1" a="1"/>
  <c r="L2212" i="1" s="1"/>
  <c r="L2210" i="1" a="1"/>
  <c r="L2210" i="1" s="1"/>
  <c r="L2208" i="1" a="1"/>
  <c r="L2208" i="1" s="1"/>
  <c r="K2212" i="1" a="1"/>
  <c r="K2212" i="1" s="1"/>
  <c r="K2208" i="1" a="1"/>
  <c r="K2208" i="1" s="1"/>
  <c r="L2211" i="1" a="1"/>
  <c r="L2211" i="1" s="1"/>
  <c r="K2197" i="1" a="1"/>
  <c r="K2197" i="1" s="1"/>
  <c r="L2201" i="1" a="1"/>
  <c r="L2201" i="1" s="1"/>
  <c r="L2198" i="1" a="1"/>
  <c r="L2198" i="1" s="1"/>
  <c r="K2204" i="1" a="1"/>
  <c r="K2204" i="1" s="1"/>
  <c r="J2204" i="1" a="1"/>
  <c r="J2204" i="1" s="1"/>
  <c r="L2203" i="1" a="1"/>
  <c r="L2203" i="1" s="1"/>
  <c r="K2202" i="1" a="1"/>
  <c r="K2202" i="1" s="1"/>
  <c r="J2198" i="1" a="1"/>
  <c r="J2198" i="1" s="1"/>
  <c r="K2201" i="1" a="1"/>
  <c r="K2201" i="1" s="1"/>
  <c r="L2197" i="1" a="1"/>
  <c r="L2197" i="1" s="1"/>
  <c r="L2199" i="1" a="1"/>
  <c r="L2199" i="1" s="1"/>
  <c r="J2200" i="1" a="1"/>
  <c r="J2200" i="1" s="1"/>
  <c r="K2200" i="1" a="1"/>
  <c r="K2200" i="1" s="1"/>
  <c r="K2203" i="1" a="1"/>
  <c r="K2203" i="1" s="1"/>
  <c r="J2201" i="1" a="1"/>
  <c r="J2201" i="1" s="1"/>
  <c r="L2202" i="1" a="1"/>
  <c r="L2202" i="1" s="1"/>
  <c r="J2197" i="1" a="1"/>
  <c r="J2197" i="1" s="1"/>
  <c r="K2196" i="1" a="1"/>
  <c r="K2196" i="1" s="1"/>
  <c r="J2202" i="1" a="1"/>
  <c r="J2202" i="1" s="1"/>
  <c r="L2204" i="1" a="1"/>
  <c r="L2204" i="1" s="1"/>
  <c r="K2199" i="1" a="1"/>
  <c r="K2199" i="1" s="1"/>
  <c r="J2203" i="1" a="1"/>
  <c r="J2203" i="1" s="1"/>
  <c r="L2196" i="1" a="1"/>
  <c r="L2196" i="1" s="1"/>
  <c r="J2199" i="1" a="1"/>
  <c r="J2199" i="1" s="1"/>
  <c r="L2200" i="1" a="1"/>
  <c r="L2200" i="1" s="1"/>
  <c r="K2198" i="1" a="1"/>
  <c r="K2198" i="1" s="1"/>
  <c r="L2187" i="1" a="1"/>
  <c r="L2187" i="1" s="1"/>
  <c r="J2191" i="1" a="1"/>
  <c r="J2191" i="1" s="1"/>
  <c r="K2187" i="1" a="1"/>
  <c r="K2187" i="1" s="1"/>
  <c r="J2193" i="1" a="1"/>
  <c r="J2193" i="1" s="1"/>
  <c r="L2194" i="1" a="1"/>
  <c r="L2194" i="1" s="1"/>
  <c r="K2194" i="1" a="1"/>
  <c r="K2194" i="1" s="1"/>
  <c r="J2194" i="1" a="1"/>
  <c r="J2194" i="1" s="1"/>
  <c r="K2190" i="1" a="1"/>
  <c r="K2190" i="1" s="1"/>
  <c r="J2188" i="1" a="1"/>
  <c r="J2188" i="1" s="1"/>
  <c r="J2196" i="1" a="1"/>
  <c r="J2196" i="1" s="1"/>
  <c r="L2193" i="1" a="1"/>
  <c r="L2193" i="1" s="1"/>
  <c r="K2188" i="1" a="1"/>
  <c r="K2188" i="1" s="1"/>
  <c r="K2193" i="1" a="1"/>
  <c r="K2193" i="1" s="1"/>
  <c r="J2190" i="1" a="1"/>
  <c r="J2190" i="1" s="1"/>
  <c r="L2191" i="1" a="1"/>
  <c r="L2191" i="1" s="1"/>
  <c r="L2195" i="1" a="1"/>
  <c r="L2195" i="1" s="1"/>
  <c r="L2186" i="1" a="1"/>
  <c r="L2186" i="1" s="1"/>
  <c r="K2195" i="1" a="1"/>
  <c r="K2195" i="1" s="1"/>
  <c r="J2195" i="1" a="1"/>
  <c r="J2195" i="1" s="1"/>
  <c r="L2188" i="1" a="1"/>
  <c r="L2188" i="1" s="1"/>
  <c r="J2187" i="1" a="1"/>
  <c r="J2187" i="1" s="1"/>
  <c r="L2192" i="1" a="1"/>
  <c r="L2192" i="1" s="1"/>
  <c r="J2192" i="1" a="1"/>
  <c r="J2192" i="1" s="1"/>
  <c r="K2192" i="1" a="1"/>
  <c r="K2192" i="1" s="1"/>
  <c r="K2191" i="1" a="1"/>
  <c r="K2191" i="1" s="1"/>
  <c r="L2190" i="1" a="1"/>
  <c r="L2190" i="1" s="1"/>
  <c r="L2182" i="1" a="1"/>
  <c r="L2182" i="1" s="1"/>
  <c r="J2182" i="1" a="1"/>
  <c r="J2182" i="1" s="1"/>
  <c r="J2180" i="1" a="1"/>
  <c r="J2180" i="1" s="1"/>
  <c r="L2178" i="1" a="1"/>
  <c r="L2178" i="1" s="1"/>
  <c r="J2178" i="1" a="1"/>
  <c r="J2178" i="1" s="1"/>
  <c r="J2185" i="1" a="1"/>
  <c r="J2185" i="1" s="1"/>
  <c r="K2186" i="1" a="1"/>
  <c r="K2186" i="1" s="1"/>
  <c r="J2186" i="1" a="1"/>
  <c r="J2186" i="1" s="1"/>
  <c r="K2179" i="1" a="1"/>
  <c r="K2179" i="1" s="1"/>
  <c r="J2184" i="1" a="1"/>
  <c r="J2184" i="1" s="1"/>
  <c r="K2182" i="1" a="1"/>
  <c r="K2182" i="1" s="1"/>
  <c r="L2180" i="1" a="1"/>
  <c r="L2180" i="1" s="1"/>
  <c r="L2177" i="1" a="1"/>
  <c r="L2177" i="1" s="1"/>
  <c r="L2183" i="1" a="1"/>
  <c r="L2183" i="1" s="1"/>
  <c r="K2185" i="1" a="1"/>
  <c r="K2185" i="1" s="1"/>
  <c r="L2185" i="1" a="1"/>
  <c r="L2185" i="1" s="1"/>
  <c r="K2181" i="1" a="1"/>
  <c r="K2181" i="1" s="1"/>
  <c r="L2179" i="1" a="1"/>
  <c r="L2179" i="1" s="1"/>
  <c r="L2184" i="1" a="1"/>
  <c r="L2184" i="1" s="1"/>
  <c r="K2183" i="1" a="1"/>
  <c r="K2183" i="1" s="1"/>
  <c r="L2181" i="1" a="1"/>
  <c r="L2181" i="1" s="1"/>
  <c r="J2181" i="1" a="1"/>
  <c r="J2181" i="1" s="1"/>
  <c r="K2178" i="1" a="1"/>
  <c r="K2178" i="1" s="1"/>
  <c r="J2179" i="1" a="1"/>
  <c r="J2179" i="1" s="1"/>
  <c r="K2177" i="1" a="1"/>
  <c r="K2177" i="1" s="1"/>
  <c r="K2180" i="1" a="1"/>
  <c r="K2180" i="1" s="1"/>
  <c r="K2184" i="1" a="1"/>
  <c r="K2184" i="1" s="1"/>
  <c r="J2183" i="1" a="1"/>
  <c r="J2183" i="1" s="1"/>
  <c r="L2176" i="1" a="1"/>
  <c r="L2176" i="1" s="1"/>
  <c r="J2177" i="1" a="1"/>
  <c r="J2177" i="1" s="1"/>
  <c r="J2176" i="1" a="1"/>
  <c r="J2176" i="1" s="1"/>
  <c r="L2172" i="1" a="1"/>
  <c r="L2172" i="1" s="1"/>
  <c r="L2171" i="1" a="1"/>
  <c r="L2171" i="1" s="1"/>
  <c r="K2173" i="1" a="1"/>
  <c r="K2173" i="1" s="1"/>
  <c r="L2173" i="1" a="1"/>
  <c r="L2173" i="1" s="1"/>
  <c r="K2176" i="1" a="1"/>
  <c r="K2176" i="1" s="1"/>
  <c r="L2175" i="1" a="1"/>
  <c r="L2175" i="1" s="1"/>
  <c r="K2175" i="1" a="1"/>
  <c r="K2175" i="1" s="1"/>
  <c r="K2174" i="1" a="1"/>
  <c r="K2174" i="1" s="1"/>
  <c r="J2171" i="1" a="1"/>
  <c r="J2171" i="1" s="1"/>
  <c r="J2175" i="1" a="1"/>
  <c r="J2175" i="1" s="1"/>
  <c r="L2174" i="1" a="1"/>
  <c r="L2174" i="1" s="1"/>
  <c r="J2174" i="1" a="1"/>
  <c r="J2174" i="1" s="1"/>
  <c r="K2172" i="1" a="1"/>
  <c r="K2172" i="1" s="1"/>
  <c r="J2173" i="1" a="1"/>
  <c r="J2173" i="1" s="1"/>
  <c r="J2172" i="1" a="1"/>
  <c r="J2172" i="1" s="1"/>
  <c r="K2171" i="1" a="1"/>
  <c r="K2171" i="1" s="1"/>
  <c r="L2170" i="1" a="1"/>
  <c r="L2170" i="1" s="1"/>
  <c r="K2170" i="1" a="1"/>
  <c r="K2170" i="1" s="1"/>
  <c r="J2170" i="1" a="1"/>
  <c r="J2170" i="1" s="1"/>
  <c r="K2168" i="1" a="1"/>
  <c r="K2168" i="1" s="1"/>
  <c r="J2168" i="1" a="1"/>
  <c r="J2168" i="1" s="1"/>
  <c r="L2169" i="1" a="1"/>
  <c r="L2169" i="1" s="1"/>
  <c r="K2169" i="1" a="1"/>
  <c r="K2169" i="1" s="1"/>
  <c r="J2169" i="1" a="1"/>
  <c r="J2169" i="1" s="1"/>
  <c r="L2168" i="1" a="1"/>
  <c r="L2168" i="1" s="1"/>
  <c r="J2167" i="1" a="1"/>
  <c r="J2167" i="1" s="1"/>
  <c r="J2166" i="1" a="1"/>
  <c r="J2166" i="1" s="1"/>
  <c r="L2167" i="1" a="1"/>
  <c r="L2167" i="1" s="1"/>
  <c r="K2167" i="1" a="1"/>
  <c r="K2167" i="1" s="1"/>
  <c r="L2166" i="1" a="1"/>
  <c r="L2166" i="1" s="1"/>
  <c r="K2166" i="1" a="1"/>
  <c r="K2166" i="1" s="1"/>
  <c r="L2164" i="1" a="1"/>
  <c r="L2164" i="1" s="1"/>
  <c r="L2163" i="1" a="1"/>
  <c r="L2163" i="1" s="1"/>
  <c r="K2163" i="1" a="1"/>
  <c r="K2163" i="1" s="1"/>
  <c r="J2163" i="1" a="1"/>
  <c r="J2163" i="1" s="1"/>
  <c r="K2164" i="1" a="1"/>
  <c r="K2164" i="1" s="1"/>
  <c r="J2164" i="1" a="1"/>
  <c r="J2164" i="1" s="1"/>
  <c r="L2162" i="1" a="1"/>
  <c r="L2162" i="1" s="1"/>
  <c r="J2162" i="1" a="1"/>
  <c r="J2162" i="1" s="1"/>
  <c r="K2162" i="1" a="1"/>
  <c r="K2162" i="1" s="1"/>
  <c r="L2161" i="1" a="1"/>
  <c r="L2161" i="1" s="1"/>
  <c r="K2157" i="1" a="1"/>
  <c r="K2157" i="1" s="1"/>
  <c r="J2157" i="1" a="1"/>
  <c r="J2157" i="1" s="1"/>
  <c r="K2159" i="1" a="1"/>
  <c r="K2159" i="1" s="1"/>
  <c r="J2159" i="1" a="1"/>
  <c r="J2159" i="1" s="1"/>
  <c r="L2158" i="1" a="1"/>
  <c r="L2158" i="1" s="1"/>
  <c r="L2157" i="1" a="1"/>
  <c r="L2157" i="1" s="1"/>
  <c r="L2156" i="1" a="1"/>
  <c r="L2156" i="1" s="1"/>
  <c r="K2161" i="1" a="1"/>
  <c r="K2161" i="1" s="1"/>
  <c r="J2161" i="1" a="1"/>
  <c r="J2161" i="1" s="1"/>
  <c r="K2160" i="1" a="1"/>
  <c r="K2160" i="1" s="1"/>
  <c r="L2160" i="1" a="1"/>
  <c r="L2160" i="1" s="1"/>
  <c r="J2160" i="1" a="1"/>
  <c r="J2160" i="1" s="1"/>
  <c r="L2159" i="1" a="1"/>
  <c r="L2159" i="1" s="1"/>
  <c r="J2158" i="1" a="1"/>
  <c r="J2158" i="1" s="1"/>
  <c r="K2156" i="1" a="1"/>
  <c r="K2156" i="1" s="1"/>
  <c r="K2158" i="1" a="1"/>
  <c r="K2158" i="1" s="1"/>
  <c r="K2153" i="1" a="1"/>
  <c r="K2153" i="1" s="1"/>
  <c r="L2155" i="1" a="1"/>
  <c r="L2155" i="1" s="1"/>
  <c r="J2152" i="1" a="1"/>
  <c r="J2152" i="1" s="1"/>
  <c r="J2155" i="1" a="1"/>
  <c r="J2155" i="1" s="1"/>
  <c r="K2152" i="1" a="1"/>
  <c r="K2152" i="1" s="1"/>
  <c r="J2156" i="1" a="1"/>
  <c r="J2156" i="1" s="1"/>
  <c r="K2155" i="1" a="1"/>
  <c r="K2155" i="1" s="1"/>
  <c r="L2154" i="1" a="1"/>
  <c r="L2154" i="1" s="1"/>
  <c r="K2154" i="1" a="1"/>
  <c r="K2154" i="1" s="1"/>
  <c r="J2154" i="1" a="1"/>
  <c r="J2154" i="1" s="1"/>
  <c r="L2152" i="1" a="1"/>
  <c r="L2152" i="1" s="1"/>
  <c r="J2153" i="1" a="1"/>
  <c r="J2153" i="1" s="1"/>
  <c r="L2153" i="1" a="1"/>
  <c r="L2153" i="1" s="1"/>
  <c r="L2149" i="1" a="1"/>
  <c r="L2149" i="1" s="1"/>
  <c r="J2151" i="1" a="1"/>
  <c r="J2151" i="1" s="1"/>
  <c r="L2151" i="1" a="1"/>
  <c r="L2151" i="1" s="1"/>
  <c r="K2150" i="1" a="1"/>
  <c r="K2150" i="1" s="1"/>
  <c r="K2151" i="1" a="1"/>
  <c r="K2151" i="1" s="1"/>
  <c r="K2149" i="1" a="1"/>
  <c r="K2149" i="1" s="1"/>
  <c r="L2150" i="1" a="1"/>
  <c r="L2150" i="1" s="1"/>
  <c r="J2150" i="1" a="1"/>
  <c r="J2150" i="1" s="1"/>
  <c r="J2149" i="1" a="1"/>
  <c r="J2149" i="1" s="1"/>
  <c r="L2146" i="1" a="1"/>
  <c r="L2146" i="1" s="1"/>
  <c r="L2148" i="1" a="1"/>
  <c r="L2148" i="1" s="1"/>
  <c r="K2148" i="1" a="1"/>
  <c r="K2148" i="1" s="1"/>
  <c r="J2148" i="1" a="1"/>
  <c r="J2148" i="1" s="1"/>
  <c r="K2147" i="1" a="1"/>
  <c r="K2147" i="1" s="1"/>
  <c r="J2147" i="1" a="1"/>
  <c r="J2147" i="1" s="1"/>
  <c r="L2147" i="1" a="1"/>
  <c r="L2147" i="1" s="1"/>
  <c r="L2143" i="1" a="1"/>
  <c r="L2143" i="1" s="1"/>
  <c r="K2143" i="1" a="1"/>
  <c r="K2143" i="1" s="1"/>
  <c r="K2144" i="1" a="1"/>
  <c r="K2144" i="1" s="1"/>
  <c r="K2146" i="1" a="1"/>
  <c r="K2146" i="1" s="1"/>
  <c r="J2146" i="1" a="1"/>
  <c r="J2146" i="1" s="1"/>
  <c r="J2145" i="1" a="1"/>
  <c r="J2145" i="1" s="1"/>
  <c r="K2145" i="1" a="1"/>
  <c r="K2145" i="1" s="1"/>
  <c r="L2145" i="1" a="1"/>
  <c r="L2145" i="1" s="1"/>
  <c r="L2144" i="1" a="1"/>
  <c r="L2144" i="1" s="1"/>
  <c r="J2144" i="1" a="1"/>
  <c r="J2144" i="1" s="1"/>
  <c r="K2139" i="1" a="1"/>
  <c r="K2139" i="1" s="1"/>
  <c r="J2139" i="1" a="1"/>
  <c r="J2139" i="1" s="1"/>
  <c r="K2140" i="1" a="1"/>
  <c r="K2140" i="1" s="1"/>
  <c r="K2138" i="1" a="1"/>
  <c r="K2138" i="1" s="1"/>
  <c r="J2143" i="1" a="1"/>
  <c r="J2143" i="1" s="1"/>
  <c r="L2135" i="1" a="1"/>
  <c r="L2135" i="1" s="1"/>
  <c r="J2138" i="1" a="1"/>
  <c r="J2138" i="1" s="1"/>
  <c r="L2136" i="1" a="1"/>
  <c r="L2136" i="1" s="1"/>
  <c r="J2141" i="1" a="1"/>
  <c r="J2141" i="1" s="1"/>
  <c r="J2140" i="1" a="1"/>
  <c r="J2140" i="1" s="1"/>
  <c r="L2142" i="1" a="1"/>
  <c r="L2142" i="1" s="1"/>
  <c r="J2137" i="1" a="1"/>
  <c r="J2137" i="1" s="1"/>
  <c r="J2136" i="1" a="1"/>
  <c r="J2136" i="1" s="1"/>
  <c r="K2136" i="1" a="1"/>
  <c r="K2136" i="1" s="1"/>
  <c r="K2142" i="1" a="1"/>
  <c r="K2142" i="1" s="1"/>
  <c r="J2142" i="1" a="1"/>
  <c r="J2142" i="1" s="1"/>
  <c r="L2139" i="1" a="1"/>
  <c r="L2139" i="1" s="1"/>
  <c r="K2137" i="1" a="1"/>
  <c r="K2137" i="1" s="1"/>
  <c r="L2140" i="1" a="1"/>
  <c r="L2140" i="1" s="1"/>
  <c r="L2141" i="1" a="1"/>
  <c r="L2141" i="1" s="1"/>
  <c r="K2141" i="1" a="1"/>
  <c r="K2141" i="1" s="1"/>
  <c r="L2138" i="1" a="1"/>
  <c r="L2138" i="1" s="1"/>
  <c r="L2137" i="1" a="1"/>
  <c r="L2137" i="1" s="1"/>
  <c r="K2133" i="1" a="1"/>
  <c r="K2133" i="1" s="1"/>
  <c r="J2134" i="1" a="1"/>
  <c r="J2134" i="1" s="1"/>
  <c r="K2134" i="1" a="1"/>
  <c r="K2134" i="1" s="1"/>
  <c r="K2135" i="1" a="1"/>
  <c r="K2135" i="1" s="1"/>
  <c r="J2135" i="1" a="1"/>
  <c r="J2135" i="1" s="1"/>
  <c r="L2134" i="1" a="1"/>
  <c r="L2134" i="1" s="1"/>
  <c r="J2133" i="1" a="1"/>
  <c r="J2133" i="1" s="1"/>
  <c r="J2132" i="1" a="1"/>
  <c r="J2132" i="1" s="1"/>
  <c r="L2133" i="1" a="1"/>
  <c r="L2133" i="1" s="1"/>
  <c r="L2132" i="1" a="1"/>
  <c r="L2132" i="1" s="1"/>
  <c r="K2132" i="1" a="1"/>
  <c r="K2132" i="1" s="1"/>
  <c r="J2129" i="1" a="1"/>
  <c r="J2129" i="1" s="1"/>
  <c r="L2129" i="1" a="1"/>
  <c r="L2129" i="1" s="1"/>
  <c r="L2131" i="1" a="1"/>
  <c r="L2131" i="1" s="1"/>
  <c r="K2126" i="1" a="1"/>
  <c r="K2126" i="1" s="1"/>
  <c r="K2131" i="1" a="1"/>
  <c r="K2131" i="1" s="1"/>
  <c r="J2131" i="1" a="1"/>
  <c r="J2131" i="1" s="1"/>
  <c r="L2128" i="1" a="1"/>
  <c r="L2128" i="1" s="1"/>
  <c r="J2130" i="1" a="1"/>
  <c r="J2130" i="1" s="1"/>
  <c r="L2125" i="1" a="1"/>
  <c r="L2125" i="1" s="1"/>
  <c r="K2127" i="1" a="1"/>
  <c r="K2127" i="1" s="1"/>
  <c r="L2126" i="1" a="1"/>
  <c r="L2126" i="1" s="1"/>
  <c r="L2130" i="1" a="1"/>
  <c r="L2130" i="1" s="1"/>
  <c r="K2128" i="1" a="1"/>
  <c r="K2128" i="1" s="1"/>
  <c r="J2128" i="1" a="1"/>
  <c r="J2128" i="1" s="1"/>
  <c r="J2127" i="1" a="1"/>
  <c r="J2127" i="1" s="1"/>
  <c r="J2125" i="1" a="1"/>
  <c r="J2125" i="1" s="1"/>
  <c r="K2130" i="1" a="1"/>
  <c r="K2130" i="1" s="1"/>
  <c r="K2129" i="1" a="1"/>
  <c r="K2129" i="1" s="1"/>
  <c r="L2127" i="1" a="1"/>
  <c r="L2127" i="1" s="1"/>
  <c r="J2126" i="1" a="1"/>
  <c r="J2126" i="1" s="1"/>
  <c r="K2125" i="1" a="1"/>
  <c r="K2125" i="1" s="1"/>
  <c r="J2124" i="1" a="1"/>
  <c r="J2124" i="1" s="1"/>
  <c r="L2124" i="1" a="1"/>
  <c r="L2124" i="1" s="1"/>
  <c r="K2124" i="1" a="1"/>
  <c r="K2124" i="1" s="1"/>
  <c r="K2121" i="1" a="1"/>
  <c r="K2121" i="1" s="1"/>
  <c r="K2119" i="1" a="1"/>
  <c r="K2119" i="1" s="1"/>
  <c r="J2121" i="1" a="1"/>
  <c r="J2121" i="1" s="1"/>
  <c r="L2119" i="1" a="1"/>
  <c r="L2119" i="1" s="1"/>
  <c r="K2120" i="1" a="1"/>
  <c r="K2120" i="1" s="1"/>
  <c r="J2122" i="1" a="1"/>
  <c r="J2122" i="1" s="1"/>
  <c r="L2123" i="1" a="1"/>
  <c r="L2123" i="1" s="1"/>
  <c r="J2120" i="1" a="1"/>
  <c r="J2120" i="1" s="1"/>
  <c r="K2123" i="1" a="1"/>
  <c r="K2123" i="1" s="1"/>
  <c r="J2123" i="1" a="1"/>
  <c r="J2123" i="1" s="1"/>
  <c r="K2122" i="1" a="1"/>
  <c r="K2122" i="1" s="1"/>
  <c r="L2122" i="1" a="1"/>
  <c r="L2122" i="1" s="1"/>
  <c r="L2121" i="1" a="1"/>
  <c r="L2121" i="1" s="1"/>
  <c r="L2120" i="1" a="1"/>
  <c r="L2120" i="1" s="1"/>
  <c r="J2119" i="1" a="1"/>
  <c r="J2119" i="1" s="1"/>
  <c r="J2118" i="1" a="1"/>
  <c r="J2118" i="1" s="1"/>
  <c r="J2116" i="1" a="1"/>
  <c r="J2116" i="1" s="1"/>
  <c r="J2115" i="1" a="1"/>
  <c r="J2115" i="1" s="1"/>
  <c r="K2115" i="1" a="1"/>
  <c r="K2115" i="1" s="1"/>
  <c r="L2117" i="1" a="1"/>
  <c r="L2117" i="1" s="1"/>
  <c r="K2117" i="1" a="1"/>
  <c r="K2117" i="1" s="1"/>
  <c r="L2115" i="1" a="1"/>
  <c r="L2115" i="1" s="1"/>
  <c r="J2117" i="1" a="1"/>
  <c r="J2117" i="1" s="1"/>
  <c r="K2116" i="1" a="1"/>
  <c r="K2116" i="1" s="1"/>
  <c r="L2116" i="1" a="1"/>
  <c r="L2116" i="1" s="1"/>
  <c r="L2118" i="1" a="1"/>
  <c r="L2118" i="1" s="1"/>
  <c r="K2118" i="1" a="1"/>
  <c r="K2118" i="1" s="1"/>
  <c r="K2021" i="1" a="1"/>
  <c r="K2021" i="1" s="1"/>
  <c r="J2020" i="1" a="1"/>
  <c r="J2020" i="1" s="1"/>
  <c r="L2021" i="1" a="1"/>
  <c r="L2021" i="1" s="1"/>
  <c r="K2020" i="1" a="1"/>
  <c r="K2020" i="1" s="1"/>
  <c r="L2018" i="1" a="1"/>
  <c r="L2018" i="1" s="1"/>
  <c r="L2019" i="1" s="1" a="1"/>
  <c r="L2019" i="1" s="1"/>
  <c r="L2020" i="1" a="1"/>
  <c r="L2020" i="1" s="1"/>
  <c r="J2019" i="1" a="1"/>
  <c r="J2019" i="1" s="1"/>
  <c r="K2018" i="1" a="1"/>
  <c r="K2018" i="1" s="1"/>
  <c r="K2019" i="1" s="1" a="1"/>
  <c r="K2019" i="1" s="1"/>
  <c r="J2021" i="1" a="1"/>
  <c r="J2021" i="1" s="1"/>
  <c r="J1913" i="1" a="1"/>
  <c r="J1913" i="1" s="1"/>
  <c r="L1915" i="1" a="1"/>
  <c r="L1915" i="1" s="1"/>
  <c r="J1908" i="1" a="1"/>
  <c r="J1908" i="1" s="1"/>
  <c r="L1910" i="1" a="1"/>
  <c r="L1910" i="1" s="1"/>
  <c r="K1910" i="1" a="1"/>
  <c r="K1910" i="1" s="1"/>
  <c r="K1909" i="1" a="1"/>
  <c r="K1909" i="1" s="1"/>
  <c r="K1908" i="1" a="1"/>
  <c r="K1908" i="1" s="1"/>
  <c r="J1915" i="1" a="1"/>
  <c r="J1915" i="1" s="1"/>
  <c r="K1915" i="1" a="1"/>
  <c r="K1915" i="1" s="1"/>
  <c r="K1911" i="1" a="1"/>
  <c r="K1911" i="1" s="1"/>
  <c r="K1914" i="1" a="1"/>
  <c r="K1914" i="1" s="1"/>
  <c r="J1914" i="1" a="1"/>
  <c r="J1914" i="1" s="1"/>
  <c r="J1909" i="1" a="1"/>
  <c r="J1909" i="1" s="1"/>
  <c r="L1913" i="1" a="1"/>
  <c r="L1913" i="1" s="1"/>
  <c r="K1912" i="1" a="1"/>
  <c r="K1912" i="1" s="1"/>
  <c r="L1911" i="1" a="1"/>
  <c r="L1911" i="1" s="1"/>
  <c r="J1910" i="1" a="1"/>
  <c r="J1910" i="1" s="1"/>
  <c r="J1912" i="1" a="1"/>
  <c r="J1912" i="1" s="1"/>
  <c r="L1909" i="1" a="1"/>
  <c r="L1909" i="1" s="1"/>
  <c r="L1908" i="1" a="1"/>
  <c r="L1908" i="1" s="1"/>
  <c r="L1912" i="1" a="1"/>
  <c r="L1912" i="1" s="1"/>
  <c r="J1911" i="1" a="1"/>
  <c r="J1911" i="1" s="1"/>
  <c r="K1913" i="1" a="1"/>
  <c r="K1913" i="1" s="1"/>
  <c r="L1914" i="1" a="1"/>
  <c r="L1914" i="1" s="1"/>
  <c r="J1906" i="1" a="1"/>
  <c r="J1906" i="1" s="1"/>
  <c r="K1907" i="1" a="1"/>
  <c r="K1907" i="1" s="1"/>
  <c r="L1905" i="1" a="1"/>
  <c r="L1905" i="1" s="1"/>
  <c r="L1907" i="1" a="1"/>
  <c r="L1907" i="1" s="1"/>
  <c r="J1907" i="1" a="1"/>
  <c r="J1907" i="1" s="1"/>
  <c r="K1905" i="1" a="1"/>
  <c r="K1905" i="1" s="1"/>
  <c r="L1906" i="1" a="1"/>
  <c r="L1906" i="1" s="1"/>
  <c r="K1906" i="1" a="1"/>
  <c r="K1906" i="1" s="1"/>
  <c r="K1904" i="1" a="1"/>
  <c r="K1904" i="1" s="1"/>
  <c r="J1905" i="1" a="1"/>
  <c r="J1905" i="1" s="1"/>
  <c r="L1904" i="1" a="1"/>
  <c r="L1904" i="1" s="1"/>
  <c r="J1904" i="1" a="1"/>
  <c r="J1904" i="1" s="1"/>
  <c r="K1675" i="1" a="1"/>
  <c r="K1675" i="1" s="1"/>
  <c r="L1675" i="1" a="1"/>
  <c r="L1675" i="1" s="1"/>
  <c r="J1676" i="1" a="1"/>
  <c r="J1676" i="1" s="1"/>
  <c r="L1674" i="1" a="1"/>
  <c r="L1674" i="1" s="1"/>
  <c r="J1675" i="1" a="1"/>
  <c r="J1675" i="1" s="1"/>
  <c r="K1674" i="1" a="1"/>
  <c r="K1674" i="1" s="1"/>
  <c r="L1676" i="1" a="1"/>
  <c r="L1676" i="1" s="1"/>
  <c r="K1676" i="1" a="1"/>
  <c r="K1676" i="1" s="1"/>
  <c r="L1672" i="1" a="1"/>
  <c r="L1672" i="1" s="1"/>
  <c r="J1671" i="1" a="1"/>
  <c r="J1671" i="1" s="1"/>
  <c r="K1670" i="1" a="1"/>
  <c r="K1670" i="1" s="1"/>
  <c r="L1669" i="1" a="1"/>
  <c r="L1669" i="1" s="1"/>
  <c r="J1669" i="1" a="1"/>
  <c r="J1669" i="1" s="1"/>
  <c r="J1672" i="1" a="1"/>
  <c r="J1672" i="1" s="1"/>
  <c r="L1668" i="1" a="1"/>
  <c r="L1668" i="1" s="1"/>
  <c r="J1668" i="1" a="1"/>
  <c r="J1668" i="1" s="1"/>
  <c r="J1670" i="1" a="1"/>
  <c r="J1670" i="1" s="1"/>
  <c r="J1674" i="1" a="1"/>
  <c r="J1674" i="1" s="1"/>
  <c r="K1669" i="1" a="1"/>
  <c r="K1669" i="1" s="1"/>
  <c r="K1671" i="1" a="1"/>
  <c r="K1671" i="1" s="1"/>
  <c r="L1673" i="1" a="1"/>
  <c r="L1673" i="1" s="1"/>
  <c r="K1668" i="1" a="1"/>
  <c r="K1668" i="1" s="1"/>
  <c r="L1670" i="1" a="1"/>
  <c r="L1670" i="1" s="1"/>
  <c r="K1672" i="1" a="1"/>
  <c r="K1672" i="1" s="1"/>
  <c r="L1671" i="1" a="1"/>
  <c r="L1671" i="1" s="1"/>
  <c r="K1673" i="1" a="1"/>
  <c r="K1673" i="1" s="1"/>
  <c r="J1673" i="1" a="1"/>
  <c r="J1673" i="1" s="1"/>
  <c r="J2008" i="1" a="1"/>
  <c r="J2008" i="1" s="1"/>
  <c r="J2009" i="1" s="1" a="1"/>
  <c r="J2009" i="1" s="1"/>
  <c r="K2008" i="1" a="1"/>
  <c r="K2008" i="1" s="1"/>
  <c r="K2009" i="1" s="1" a="1"/>
  <c r="K2009" i="1" s="1"/>
  <c r="L2008" i="1" a="1"/>
  <c r="L2008" i="1" s="1"/>
  <c r="L2009" i="1" s="1" a="1"/>
  <c r="L2009" i="1" s="1"/>
  <c r="J2006" i="1" a="1"/>
  <c r="J2006" i="1" s="1"/>
  <c r="J2007" i="1" s="1" a="1"/>
  <c r="J2007" i="1" s="1"/>
  <c r="L2005" i="1" a="1"/>
  <c r="L2005" i="1" s="1"/>
  <c r="J2005" i="1" a="1"/>
  <c r="J2005" i="1" s="1"/>
  <c r="K2005" i="1" a="1"/>
  <c r="K2005" i="1" s="1"/>
  <c r="L2006" i="1" a="1"/>
  <c r="L2006" i="1" s="1"/>
  <c r="L2007" i="1" s="1" a="1"/>
  <c r="L2007" i="1" s="1"/>
  <c r="K2006" i="1" a="1"/>
  <c r="K2006" i="1" s="1"/>
  <c r="K2007" i="1" s="1" a="1"/>
  <c r="K2007" i="1" s="1"/>
  <c r="L2003" i="1" a="1"/>
  <c r="L2003" i="1" s="1"/>
  <c r="L2004" i="1" s="1" a="1"/>
  <c r="L2004" i="1" s="1"/>
  <c r="J2001" i="1" a="1"/>
  <c r="J2001" i="1" s="1"/>
  <c r="K2001" i="1" a="1"/>
  <c r="K2001" i="1" s="1"/>
  <c r="K2003" i="1" a="1"/>
  <c r="K2003" i="1" s="1"/>
  <c r="K2004" i="1" s="1" a="1"/>
  <c r="K2004" i="1" s="1"/>
  <c r="J2003" i="1" a="1"/>
  <c r="J2003" i="1" s="1"/>
  <c r="J2004" i="1" s="1" a="1"/>
  <c r="J2004" i="1" s="1"/>
  <c r="L2001" i="1" a="1"/>
  <c r="L2001" i="1" s="1"/>
  <c r="K1997" i="1" a="1"/>
  <c r="K1997" i="1" s="1"/>
  <c r="L1996" i="1" a="1"/>
  <c r="L1996" i="1" s="1"/>
  <c r="L2000" i="1" a="1"/>
  <c r="L2000" i="1" s="1"/>
  <c r="J2000" i="1" a="1"/>
  <c r="J2000" i="1" s="1"/>
  <c r="K1996" i="1" a="1"/>
  <c r="K1996" i="1" s="1"/>
  <c r="L1999" i="1" a="1"/>
  <c r="L1999" i="1" s="1"/>
  <c r="K1999" i="1" a="1"/>
  <c r="K1999" i="1" s="1"/>
  <c r="L1998" i="1" a="1"/>
  <c r="L1998" i="1" s="1"/>
  <c r="K1998" i="1" a="1"/>
  <c r="K1998" i="1" s="1"/>
  <c r="J1998" i="1" a="1"/>
  <c r="J1998" i="1" s="1"/>
  <c r="L1997" i="1" a="1"/>
  <c r="L1997" i="1" s="1"/>
  <c r="J1997" i="1" a="1"/>
  <c r="J1997" i="1" s="1"/>
  <c r="K2000" i="1" a="1"/>
  <c r="K2000" i="1" s="1"/>
  <c r="J1999" i="1" a="1"/>
  <c r="J1999" i="1" s="1"/>
  <c r="J1996" i="1" a="1"/>
  <c r="J1996" i="1" s="1"/>
  <c r="K1991" i="1" a="1"/>
  <c r="K1991" i="1" s="1"/>
  <c r="L1995" i="1" a="1"/>
  <c r="L1995" i="1" s="1"/>
  <c r="K1995" i="1" a="1"/>
  <c r="K1995" i="1" s="1"/>
  <c r="J1995" i="1" a="1"/>
  <c r="J1995" i="1" s="1"/>
  <c r="K1994" i="1" a="1"/>
  <c r="K1994" i="1" s="1"/>
  <c r="L1991" i="1" a="1"/>
  <c r="L1991" i="1" s="1"/>
  <c r="K1992" i="1" a="1"/>
  <c r="K1992" i="1" s="1"/>
  <c r="L1994" i="1" a="1"/>
  <c r="L1994" i="1" s="1"/>
  <c r="J1994" i="1" a="1"/>
  <c r="J1994" i="1" s="1"/>
  <c r="L1993" i="1" a="1"/>
  <c r="L1993" i="1" s="1"/>
  <c r="J1992" i="1" a="1"/>
  <c r="J1992" i="1" s="1"/>
  <c r="L1992" i="1" a="1"/>
  <c r="L1992" i="1" s="1"/>
  <c r="K1993" i="1" a="1"/>
  <c r="K1993" i="1" s="1"/>
  <c r="J1993" i="1" a="1"/>
  <c r="J1993" i="1" s="1"/>
  <c r="J1988" i="1" a="1"/>
  <c r="J1988" i="1" s="1"/>
  <c r="K1988" i="1" a="1"/>
  <c r="K1988" i="1" s="1"/>
  <c r="J1991" i="1" a="1"/>
  <c r="J1991" i="1" s="1"/>
  <c r="K1990" i="1" a="1"/>
  <c r="K1990" i="1" s="1"/>
  <c r="J1990" i="1" a="1"/>
  <c r="J1990" i="1" s="1"/>
  <c r="L1990" i="1" a="1"/>
  <c r="L1990" i="1" s="1"/>
  <c r="L1989" i="1" a="1"/>
  <c r="L1989" i="1" s="1"/>
  <c r="K1989" i="1" a="1"/>
  <c r="K1989" i="1" s="1"/>
  <c r="J1989" i="1" a="1"/>
  <c r="J1989" i="1" s="1"/>
  <c r="L1988" i="1" a="1"/>
  <c r="L1988" i="1" s="1"/>
  <c r="L1987" i="1" a="1"/>
  <c r="L1987" i="1" s="1"/>
  <c r="K1987" i="1" a="1"/>
  <c r="K1987" i="1" s="1"/>
  <c r="J1987" i="1" a="1"/>
  <c r="J1987" i="1" s="1"/>
  <c r="K1985" i="1" a="1"/>
  <c r="K1985" i="1" s="1"/>
  <c r="L1986" i="1" a="1"/>
  <c r="L1986" i="1" s="1"/>
  <c r="K1986" i="1" a="1"/>
  <c r="K1986" i="1" s="1"/>
  <c r="J1986" i="1" a="1"/>
  <c r="J1986" i="1" s="1"/>
  <c r="L1985" i="1" a="1"/>
  <c r="L1985" i="1" s="1"/>
  <c r="L1982" i="1" a="1"/>
  <c r="L1982" i="1" s="1"/>
  <c r="K1983" i="1" a="1"/>
  <c r="K1983" i="1" s="1"/>
  <c r="L1984" i="1" a="1"/>
  <c r="L1984" i="1" s="1"/>
  <c r="K1984" i="1" a="1"/>
  <c r="K1984" i="1" s="1"/>
  <c r="J1984" i="1" a="1"/>
  <c r="J1984" i="1" s="1"/>
  <c r="J1985" i="1" a="1"/>
  <c r="J1985" i="1" s="1"/>
  <c r="L1983" i="1" a="1"/>
  <c r="L1983" i="1" s="1"/>
  <c r="J1983" i="1" a="1"/>
  <c r="J1983" i="1" s="1"/>
  <c r="K1977" i="1" a="1"/>
  <c r="K1977" i="1" s="1"/>
  <c r="J1982" i="1" a="1"/>
  <c r="J1982" i="1" s="1"/>
  <c r="K1976" i="1" a="1"/>
  <c r="K1976" i="1" s="1"/>
  <c r="L1981" i="1" a="1"/>
  <c r="L1981" i="1" s="1"/>
  <c r="K1981" i="1" a="1"/>
  <c r="K1981" i="1" s="1"/>
  <c r="L1977" i="1" a="1"/>
  <c r="L1977" i="1" s="1"/>
  <c r="L1980" i="1" a="1"/>
  <c r="L1980" i="1" s="1"/>
  <c r="J1975" i="1" a="1"/>
  <c r="J1975" i="1" s="1"/>
  <c r="L1979" i="1" a="1"/>
  <c r="L1979" i="1" s="1"/>
  <c r="L1975" i="1" a="1"/>
  <c r="L1975" i="1" s="1"/>
  <c r="J1979" i="1" a="1"/>
  <c r="J1979" i="1" s="1"/>
  <c r="L1976" i="1" a="1"/>
  <c r="L1976" i="1" s="1"/>
  <c r="K1982" i="1" a="1"/>
  <c r="K1982" i="1" s="1"/>
  <c r="J1976" i="1" a="1"/>
  <c r="J1976" i="1" s="1"/>
  <c r="J1980" i="1" a="1"/>
  <c r="J1980" i="1" s="1"/>
  <c r="J1981" i="1" a="1"/>
  <c r="J1981" i="1" s="1"/>
  <c r="K1980" i="1" a="1"/>
  <c r="K1980" i="1" s="1"/>
  <c r="J1977" i="1" a="1"/>
  <c r="J1977" i="1" s="1"/>
  <c r="K1979" i="1" a="1"/>
  <c r="K1979" i="1" s="1"/>
  <c r="K1975" i="1" a="1"/>
  <c r="K1975" i="1" s="1"/>
  <c r="K1971" i="1" a="1"/>
  <c r="K1971" i="1" s="1"/>
  <c r="L1972" i="1" a="1"/>
  <c r="L1972" i="1" s="1"/>
  <c r="L1970" i="1" a="1"/>
  <c r="L1970" i="1" s="1"/>
  <c r="J1970" i="1" a="1"/>
  <c r="J1970" i="1" s="1"/>
  <c r="L1974" i="1" a="1"/>
  <c r="L1974" i="1" s="1"/>
  <c r="J1971" i="1" a="1"/>
  <c r="J1971" i="1" s="1"/>
  <c r="K1974" i="1" a="1"/>
  <c r="K1974" i="1" s="1"/>
  <c r="K1973" i="1" a="1"/>
  <c r="K1973" i="1" s="1"/>
  <c r="J1974" i="1" a="1"/>
  <c r="J1974" i="1" s="1"/>
  <c r="J1973" i="1" a="1"/>
  <c r="J1973" i="1" s="1"/>
  <c r="K1972" i="1" a="1"/>
  <c r="K1972" i="1" s="1"/>
  <c r="L1971" i="1" a="1"/>
  <c r="L1971" i="1" s="1"/>
  <c r="K1970" i="1" a="1"/>
  <c r="K1970" i="1" s="1"/>
  <c r="J1972" i="1" a="1"/>
  <c r="J1972" i="1" s="1"/>
  <c r="L1973" i="1" a="1"/>
  <c r="L1973" i="1" s="1"/>
  <c r="L1969" i="1" a="1"/>
  <c r="L1969" i="1" s="1"/>
  <c r="K1969" i="1" a="1"/>
  <c r="K1969" i="1" s="1"/>
  <c r="L1968" i="1" a="1"/>
  <c r="L1968" i="1" s="1"/>
  <c r="J1964" i="1" a="1"/>
  <c r="J1964" i="1" s="1"/>
  <c r="K1964" i="1" a="1"/>
  <c r="K1964" i="1" s="1"/>
  <c r="J1966" i="1" a="1"/>
  <c r="J1966" i="1" s="1"/>
  <c r="K1968" i="1" a="1"/>
  <c r="K1968" i="1" s="1"/>
  <c r="L1967" i="1" a="1"/>
  <c r="L1967" i="1" s="1"/>
  <c r="J1968" i="1" a="1"/>
  <c r="J1968" i="1" s="1"/>
  <c r="J1967" i="1" a="1"/>
  <c r="J1967" i="1" s="1"/>
  <c r="L1965" i="1" a="1"/>
  <c r="L1965" i="1" s="1"/>
  <c r="K1967" i="1" a="1"/>
  <c r="K1967" i="1" s="1"/>
  <c r="K1965" i="1" a="1"/>
  <c r="K1965" i="1" s="1"/>
  <c r="L1964" i="1" a="1"/>
  <c r="L1964" i="1" s="1"/>
  <c r="J1965" i="1" a="1"/>
  <c r="J1965" i="1" s="1"/>
  <c r="K1966" i="1" a="1"/>
  <c r="K1966" i="1" s="1"/>
  <c r="J1969" i="1" a="1"/>
  <c r="J1969" i="1" s="1"/>
  <c r="L1966" i="1" a="1"/>
  <c r="L1966" i="1" s="1"/>
  <c r="K1963" i="1" a="1"/>
  <c r="K1963" i="1" s="1"/>
  <c r="J1963" i="1" a="1"/>
  <c r="J1963" i="1" s="1"/>
  <c r="L1963" i="1" a="1"/>
  <c r="L1963" i="1" s="1"/>
  <c r="J1959" i="1" a="1"/>
  <c r="J1959" i="1" s="1"/>
  <c r="L1962" i="1" a="1"/>
  <c r="L1962" i="1" s="1"/>
  <c r="L1959" i="1" a="1"/>
  <c r="L1959" i="1" s="1"/>
  <c r="K1962" i="1" a="1"/>
  <c r="K1962" i="1" s="1"/>
  <c r="J1962" i="1" a="1"/>
  <c r="J1962" i="1" s="1"/>
  <c r="J1960" i="1" a="1"/>
  <c r="J1960" i="1" s="1"/>
  <c r="L1960" i="1" a="1"/>
  <c r="L1960" i="1" s="1"/>
  <c r="K1960" i="1" a="1"/>
  <c r="K1960" i="1" s="1"/>
  <c r="K1961" i="1" a="1"/>
  <c r="K1961" i="1" s="1"/>
  <c r="L1961" i="1" a="1"/>
  <c r="L1961" i="1" s="1"/>
  <c r="K1958" i="1" a="1"/>
  <c r="K1958" i="1" s="1"/>
  <c r="L1958" i="1" a="1"/>
  <c r="L1958" i="1" s="1"/>
  <c r="L1957" i="1" a="1"/>
  <c r="L1957" i="1" s="1"/>
  <c r="J1961" i="1" a="1"/>
  <c r="J1961" i="1" s="1"/>
  <c r="K1959" i="1" a="1"/>
  <c r="K1959" i="1" s="1"/>
  <c r="J1958" i="1" a="1"/>
  <c r="J1958" i="1" s="1"/>
  <c r="J1953" i="1" a="1"/>
  <c r="J1953" i="1" s="1"/>
  <c r="K1957" i="1" a="1"/>
  <c r="K1957" i="1" s="1"/>
  <c r="J1955" i="1" a="1"/>
  <c r="J1955" i="1" s="1"/>
  <c r="L1953" i="1" a="1"/>
  <c r="L1953" i="1" s="1"/>
  <c r="J1957" i="1" a="1"/>
  <c r="J1957" i="1" s="1"/>
  <c r="K1956" i="1" a="1"/>
  <c r="K1956" i="1" s="1"/>
  <c r="J1956" i="1" a="1"/>
  <c r="J1956" i="1" s="1"/>
  <c r="K1953" i="1" a="1"/>
  <c r="K1953" i="1" s="1"/>
  <c r="L1956" i="1" a="1"/>
  <c r="L1956" i="1" s="1"/>
  <c r="L1955" i="1" a="1"/>
  <c r="L1955" i="1" s="1"/>
  <c r="K1955" i="1" a="1"/>
  <c r="K1955" i="1" s="1"/>
  <c r="K1951" i="1" a="1"/>
  <c r="K1951" i="1" s="1"/>
  <c r="L1950" i="1" a="1"/>
  <c r="L1950" i="1" s="1"/>
  <c r="J1949" i="1" a="1"/>
  <c r="J1949" i="1" s="1"/>
  <c r="L1947" i="1" a="1"/>
  <c r="L1947" i="1" s="1"/>
  <c r="J1946" i="1" a="1"/>
  <c r="J1946" i="1" s="1"/>
  <c r="J1948" i="1" a="1"/>
  <c r="J1948" i="1" s="1"/>
  <c r="J1947" i="1" a="1"/>
  <c r="J1947" i="1" s="1"/>
  <c r="K1950" i="1" a="1"/>
  <c r="K1950" i="1" s="1"/>
  <c r="K1949" i="1" a="1"/>
  <c r="K1949" i="1" s="1"/>
  <c r="L1949" i="1" a="1"/>
  <c r="L1949" i="1" s="1"/>
  <c r="L1944" i="1" a="1"/>
  <c r="L1944" i="1" s="1"/>
  <c r="K1944" i="1" a="1"/>
  <c r="K1944" i="1" s="1"/>
  <c r="J1945" i="1" a="1"/>
  <c r="J1945" i="1" s="1"/>
  <c r="L1945" i="1" a="1"/>
  <c r="L1945" i="1" s="1"/>
  <c r="L1952" i="1" a="1"/>
  <c r="L1952" i="1" s="1"/>
  <c r="K1945" i="1" a="1"/>
  <c r="K1945" i="1" s="1"/>
  <c r="K1952" i="1" a="1"/>
  <c r="K1952" i="1" s="1"/>
  <c r="J1952" i="1" a="1"/>
  <c r="J1952" i="1" s="1"/>
  <c r="J1950" i="1" a="1"/>
  <c r="J1950" i="1" s="1"/>
  <c r="K1948" i="1" a="1"/>
  <c r="K1948" i="1" s="1"/>
  <c r="J1944" i="1" a="1"/>
  <c r="J1944" i="1" s="1"/>
  <c r="K1946" i="1" a="1"/>
  <c r="K1946" i="1" s="1"/>
  <c r="K1947" i="1" a="1"/>
  <c r="K1947" i="1" s="1"/>
  <c r="L1946" i="1" a="1"/>
  <c r="L1946" i="1" s="1"/>
  <c r="J1951" i="1" a="1"/>
  <c r="J1951" i="1" s="1"/>
  <c r="L1948" i="1" a="1"/>
  <c r="L1948" i="1" s="1"/>
  <c r="L1951" i="1" a="1"/>
  <c r="L1951" i="1" s="1"/>
  <c r="K1943" i="1" a="1"/>
  <c r="K1943" i="1" s="1"/>
  <c r="J1941" i="1" a="1"/>
  <c r="J1941" i="1" s="1"/>
  <c r="K1938" i="1" a="1"/>
  <c r="K1938" i="1" s="1"/>
  <c r="L1942" i="1" a="1"/>
  <c r="L1942" i="1" s="1"/>
  <c r="L1940" i="1" a="1"/>
  <c r="L1940" i="1" s="1"/>
  <c r="J1935" i="1" a="1"/>
  <c r="J1935" i="1" s="1"/>
  <c r="K1941" i="1" a="1"/>
  <c r="K1941" i="1" s="1"/>
  <c r="L1941" i="1" a="1"/>
  <c r="L1941" i="1" s="1"/>
  <c r="L1935" i="1" a="1"/>
  <c r="L1935" i="1" s="1"/>
  <c r="K1940" i="1" a="1"/>
  <c r="K1940" i="1" s="1"/>
  <c r="K1939" i="1" a="1"/>
  <c r="K1939" i="1" s="1"/>
  <c r="K1935" i="1" a="1"/>
  <c r="K1935" i="1" s="1"/>
  <c r="J1937" i="1" a="1"/>
  <c r="J1937" i="1" s="1"/>
  <c r="K1942" i="1" a="1"/>
  <c r="K1942" i="1" s="1"/>
  <c r="J1939" i="1" a="1"/>
  <c r="J1939" i="1" s="1"/>
  <c r="L1943" i="1" a="1"/>
  <c r="L1943" i="1" s="1"/>
  <c r="J1936" i="1" a="1"/>
  <c r="J1936" i="1" s="1"/>
  <c r="J1943" i="1" a="1"/>
  <c r="J1943" i="1" s="1"/>
  <c r="J1942" i="1" a="1"/>
  <c r="J1942" i="1" s="1"/>
  <c r="J1940" i="1" a="1"/>
  <c r="J1940" i="1" s="1"/>
  <c r="L1938" i="1" a="1"/>
  <c r="L1938" i="1" s="1"/>
  <c r="L1936" i="1" a="1"/>
  <c r="L1936" i="1" s="1"/>
  <c r="L1934" i="1" a="1"/>
  <c r="L1934" i="1" s="1"/>
  <c r="L1939" i="1" a="1"/>
  <c r="L1939" i="1" s="1"/>
  <c r="K1936" i="1" a="1"/>
  <c r="K1936" i="1" s="1"/>
  <c r="J1938" i="1" a="1"/>
  <c r="J1938" i="1" s="1"/>
  <c r="L1937" i="1" a="1"/>
  <c r="L1937" i="1" s="1"/>
  <c r="K1937" i="1" a="1"/>
  <c r="K1937" i="1" s="1"/>
  <c r="K1934" i="1" a="1"/>
  <c r="K1934" i="1" s="1"/>
  <c r="L1927" i="1" a="1"/>
  <c r="L1927" i="1" s="1"/>
  <c r="L1928" i="1" a="1"/>
  <c r="L1928" i="1" s="1"/>
  <c r="J1928" i="1" a="1"/>
  <c r="J1928" i="1" s="1"/>
  <c r="K1925" i="1" a="1"/>
  <c r="K1925" i="1" s="1"/>
  <c r="K1930" i="1" a="1"/>
  <c r="K1930" i="1" s="1"/>
  <c r="J1927" i="1" a="1"/>
  <c r="J1927" i="1" s="1"/>
  <c r="L1926" i="1" a="1"/>
  <c r="L1926" i="1" s="1"/>
  <c r="J1934" i="1" a="1"/>
  <c r="J1934" i="1" s="1"/>
  <c r="J1929" i="1" a="1"/>
  <c r="J1929" i="1" s="1"/>
  <c r="K1926" i="1" a="1"/>
  <c r="K1926" i="1" s="1"/>
  <c r="L1925" i="1" a="1"/>
  <c r="L1925" i="1" s="1"/>
  <c r="L1931" i="1" a="1"/>
  <c r="L1931" i="1" s="1"/>
  <c r="L1929" i="1" a="1"/>
  <c r="L1929" i="1" s="1"/>
  <c r="K1932" i="1" a="1"/>
  <c r="K1932" i="1" s="1"/>
  <c r="K1929" i="1" a="1"/>
  <c r="K1929" i="1" s="1"/>
  <c r="J1926" i="1" a="1"/>
  <c r="J1926" i="1" s="1"/>
  <c r="K1928" i="1" a="1"/>
  <c r="K1928" i="1" s="1"/>
  <c r="K1931" i="1" a="1"/>
  <c r="K1931" i="1" s="1"/>
  <c r="J1932" i="1" a="1"/>
  <c r="J1932" i="1" s="1"/>
  <c r="L1933" i="1" a="1"/>
  <c r="L1933" i="1" s="1"/>
  <c r="K1933" i="1" a="1"/>
  <c r="K1933" i="1" s="1"/>
  <c r="L1930" i="1" a="1"/>
  <c r="L1930" i="1" s="1"/>
  <c r="J1933" i="1" a="1"/>
  <c r="J1933" i="1" s="1"/>
  <c r="J1931" i="1" a="1"/>
  <c r="J1931" i="1" s="1"/>
  <c r="K1927" i="1" a="1"/>
  <c r="K1927" i="1" s="1"/>
  <c r="L1932" i="1" a="1"/>
  <c r="L1932" i="1" s="1"/>
  <c r="J1930" i="1" a="1"/>
  <c r="J1930" i="1" s="1"/>
  <c r="J1923" i="1" a="1"/>
  <c r="J1923" i="1" s="1"/>
  <c r="K1917" i="1" a="1"/>
  <c r="K1917" i="1" s="1"/>
  <c r="L1918" i="1" a="1"/>
  <c r="L1918" i="1" s="1"/>
  <c r="J1922" i="1" a="1"/>
  <c r="J1922" i="1" s="1"/>
  <c r="K1916" i="1" a="1"/>
  <c r="K1916" i="1" s="1"/>
  <c r="K1921" i="1" a="1"/>
  <c r="K1921" i="1" s="1"/>
  <c r="J1919" i="1" a="1"/>
  <c r="J1919" i="1" s="1"/>
  <c r="J1921" i="1" a="1"/>
  <c r="J1921" i="1" s="1"/>
  <c r="L1919" i="1" a="1"/>
  <c r="L1919" i="1" s="1"/>
  <c r="K1923" i="1" a="1"/>
  <c r="K1923" i="1" s="1"/>
  <c r="K1919" i="1" a="1"/>
  <c r="K1919" i="1" s="1"/>
  <c r="K1918" i="1" a="1"/>
  <c r="K1918" i="1" s="1"/>
  <c r="J1918" i="1" a="1"/>
  <c r="J1918" i="1" s="1"/>
  <c r="L1920" i="1" a="1"/>
  <c r="L1920" i="1" s="1"/>
  <c r="L1923" i="1" a="1"/>
  <c r="L1923" i="1" s="1"/>
  <c r="J1925" i="1" a="1"/>
  <c r="J1925" i="1" s="1"/>
  <c r="J1924" i="1" a="1"/>
  <c r="J1924" i="1" s="1"/>
  <c r="L1916" i="1" a="1"/>
  <c r="L1916" i="1" s="1"/>
  <c r="L1921" i="1" a="1"/>
  <c r="L1921" i="1" s="1"/>
  <c r="K1922" i="1" a="1"/>
  <c r="K1922" i="1" s="1"/>
  <c r="L1917" i="1" a="1"/>
  <c r="L1917" i="1" s="1"/>
  <c r="L1924" i="1" a="1"/>
  <c r="L1924" i="1" s="1"/>
  <c r="J1920" i="1" a="1"/>
  <c r="J1920" i="1" s="1"/>
  <c r="J1917" i="1" a="1"/>
  <c r="J1917" i="1" s="1"/>
  <c r="J1916" i="1" a="1"/>
  <c r="J1916" i="1" s="1"/>
  <c r="L1922" i="1" a="1"/>
  <c r="L1922" i="1" s="1"/>
  <c r="K1920" i="1" a="1"/>
  <c r="K1920" i="1" s="1"/>
  <c r="K1924" i="1" a="1"/>
  <c r="K1924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1039" i="1" a="1"/>
  <c r="J1039" i="1" s="1"/>
  <c r="J1032" i="1" a="1"/>
  <c r="J1032" i="1" s="1"/>
  <c r="J1041" i="1" a="1"/>
  <c r="J1041" i="1" s="1"/>
  <c r="K1041" i="1" a="1"/>
  <c r="K1041" i="1" s="1"/>
  <c r="K1032" i="1" a="1"/>
  <c r="K1032" i="1" s="1"/>
  <c r="L1041" i="1" a="1"/>
  <c r="L1041" i="1" s="1"/>
  <c r="L1032" i="1" a="1"/>
  <c r="L1032" i="1" s="1"/>
  <c r="L1039" i="1" a="1"/>
  <c r="L1039" i="1" s="1"/>
  <c r="K1039" i="1" a="1"/>
  <c r="K1039" i="1" s="1"/>
  <c r="J1024" i="1" a="1"/>
  <c r="J1024" i="1" s="1"/>
  <c r="L1027" i="1" a="1"/>
  <c r="L1027" i="1" s="1"/>
  <c r="K1008" i="1" a="1"/>
  <c r="K1008" i="1" s="1"/>
  <c r="K1054" i="1" s="1" a="1"/>
  <c r="K1054" i="1" s="1"/>
  <c r="K1027" i="1" a="1"/>
  <c r="K1027" i="1" s="1"/>
  <c r="L1029" i="1" a="1"/>
  <c r="L1029" i="1" s="1"/>
  <c r="K1024" i="1" a="1"/>
  <c r="K1024" i="1" s="1"/>
  <c r="K1029" i="1" a="1"/>
  <c r="K1029" i="1" s="1"/>
  <c r="J1029" i="1" a="1"/>
  <c r="J1029" i="1" s="1"/>
  <c r="L1024" i="1" a="1"/>
  <c r="L1024" i="1" s="1"/>
  <c r="J1008" i="1" a="1"/>
  <c r="J1008" i="1" s="1"/>
  <c r="J1054" i="1" s="1" a="1"/>
  <c r="J1054" i="1" s="1"/>
  <c r="L1008" i="1" a="1"/>
  <c r="L1008" i="1" s="1"/>
  <c r="L1054" i="1" s="1" a="1"/>
  <c r="L1054" i="1" s="1"/>
  <c r="J1027" i="1" a="1"/>
  <c r="J1027" i="1" s="1"/>
  <c r="L766" i="1" a="1"/>
  <c r="L766" i="1" s="1"/>
  <c r="L816" i="1" s="1" a="1"/>
  <c r="L816" i="1" s="1"/>
  <c r="J766" i="1" a="1"/>
  <c r="J766" i="1" s="1"/>
  <c r="J816" i="1" s="1" a="1"/>
  <c r="J816" i="1" s="1"/>
  <c r="K766" i="1" a="1"/>
  <c r="K766" i="1" s="1"/>
  <c r="K816" i="1" s="1" a="1"/>
  <c r="K816" i="1" s="1"/>
  <c r="J999" i="1" a="1"/>
  <c r="J999" i="1" s="1"/>
  <c r="J1051" i="1" s="1" a="1"/>
  <c r="J1051" i="1" s="1"/>
  <c r="K998" i="1" a="1"/>
  <c r="K998" i="1" s="1"/>
  <c r="K991" i="1" a="1"/>
  <c r="K991" i="1" s="1"/>
  <c r="J998" i="1" a="1"/>
  <c r="J998" i="1" s="1"/>
  <c r="L985" i="1" a="1"/>
  <c r="L985" i="1" s="1"/>
  <c r="K985" i="1" a="1"/>
  <c r="K985" i="1" s="1"/>
  <c r="K999" i="1" a="1"/>
  <c r="K999" i="1" s="1"/>
  <c r="K1051" i="1" s="1" a="1"/>
  <c r="K1051" i="1" s="1"/>
  <c r="L991" i="1" a="1"/>
  <c r="L991" i="1" s="1"/>
  <c r="J985" i="1" a="1"/>
  <c r="J985" i="1" s="1"/>
  <c r="L999" i="1" a="1"/>
  <c r="L999" i="1" s="1"/>
  <c r="L1051" i="1" s="1" a="1"/>
  <c r="L1051" i="1" s="1"/>
  <c r="L998" i="1" a="1"/>
  <c r="L998" i="1" s="1"/>
  <c r="L979" i="1" a="1"/>
  <c r="L979" i="1" s="1"/>
  <c r="L1053" i="1" s="1" a="1"/>
  <c r="L1053" i="1" s="1"/>
  <c r="J991" i="1" a="1"/>
  <c r="J991" i="1" s="1"/>
  <c r="J976" i="1" a="1"/>
  <c r="J976" i="1" s="1"/>
  <c r="L976" i="1" a="1"/>
  <c r="L976" i="1" s="1"/>
  <c r="J975" i="1" a="1"/>
  <c r="J975" i="1" s="1"/>
  <c r="K975" i="1" a="1"/>
  <c r="K975" i="1" s="1"/>
  <c r="L975" i="1" a="1"/>
  <c r="L975" i="1" s="1"/>
  <c r="K979" i="1" a="1"/>
  <c r="K979" i="1" s="1"/>
  <c r="K1053" i="1" s="1" a="1"/>
  <c r="K1053" i="1" s="1"/>
  <c r="J979" i="1" a="1"/>
  <c r="J979" i="1" s="1"/>
  <c r="J1053" i="1" s="1" a="1"/>
  <c r="J1053" i="1" s="1"/>
  <c r="L978" i="1" a="1"/>
  <c r="L978" i="1" s="1"/>
  <c r="J978" i="1" a="1"/>
  <c r="J978" i="1" s="1"/>
  <c r="K978" i="1" a="1"/>
  <c r="K978" i="1" s="1"/>
  <c r="K976" i="1" a="1"/>
  <c r="K976" i="1" s="1"/>
  <c r="J928" i="1" a="1"/>
  <c r="J928" i="1" s="1"/>
  <c r="J916" i="1" a="1"/>
  <c r="J916" i="1" s="1"/>
  <c r="L914" i="1" a="1"/>
  <c r="L914" i="1" s="1"/>
  <c r="L916" i="1" a="1"/>
  <c r="L916" i="1" s="1"/>
  <c r="L928" i="1" a="1"/>
  <c r="L928" i="1" s="1"/>
  <c r="K928" i="1" a="1"/>
  <c r="K928" i="1" s="1"/>
  <c r="K916" i="1" a="1"/>
  <c r="K916" i="1" s="1"/>
  <c r="K914" i="1" a="1"/>
  <c r="K914" i="1" s="1"/>
  <c r="J914" i="1" a="1"/>
  <c r="J914" i="1" s="1"/>
  <c r="J896" i="1" a="1"/>
  <c r="J896" i="1" s="1"/>
  <c r="J925" i="1" s="1"/>
  <c r="J924" i="1" s="1"/>
  <c r="J885" i="1" a="1"/>
  <c r="J885" i="1" s="1"/>
  <c r="J884" i="1" a="1"/>
  <c r="J884" i="1" s="1"/>
  <c r="L884" i="1" a="1"/>
  <c r="L884" i="1" s="1"/>
  <c r="K884" i="1" a="1"/>
  <c r="K884" i="1" s="1"/>
  <c r="K885" i="1" a="1"/>
  <c r="K885" i="1" s="1"/>
  <c r="L885" i="1" a="1"/>
  <c r="L885" i="1" s="1"/>
  <c r="K896" i="1" a="1"/>
  <c r="K896" i="1" s="1"/>
  <c r="K902" i="1" s="1"/>
  <c r="L896" i="1" a="1"/>
  <c r="L896" i="1" s="1"/>
  <c r="L903" i="1" s="1"/>
  <c r="J802" i="1" a="1"/>
  <c r="J802" i="1" s="1"/>
  <c r="K802" i="1" a="1"/>
  <c r="K802" i="1" s="1"/>
  <c r="K806" i="1" a="1"/>
  <c r="K806" i="1" s="1"/>
  <c r="L804" i="1" a="1"/>
  <c r="L804" i="1" s="1"/>
  <c r="L802" i="1" a="1"/>
  <c r="L802" i="1" s="1"/>
  <c r="K804" i="1" a="1"/>
  <c r="K804" i="1" s="1"/>
  <c r="J806" i="1" a="1"/>
  <c r="J806" i="1" s="1"/>
  <c r="J804" i="1" a="1"/>
  <c r="J804" i="1" s="1"/>
  <c r="L806" i="1" a="1"/>
  <c r="L806" i="1" s="1"/>
  <c r="J780" i="1" a="1"/>
  <c r="J780" i="1" s="1"/>
  <c r="J779" i="1" s="1"/>
  <c r="J786" i="1" s="1"/>
  <c r="J787" i="1" s="1"/>
  <c r="K780" i="1" a="1"/>
  <c r="K780" i="1" s="1"/>
  <c r="K779" i="1" s="1"/>
  <c r="L780" i="1" a="1"/>
  <c r="L780" i="1" s="1"/>
  <c r="L779" i="1" s="1"/>
  <c r="J2308" i="1" a="1"/>
  <c r="J2308" i="1" s="1"/>
  <c r="L2306" i="1" a="1"/>
  <c r="L2306" i="1" s="1"/>
  <c r="L2312" i="1" a="1"/>
  <c r="L2312" i="1" s="1"/>
  <c r="L2304" i="1" a="1"/>
  <c r="L2304" i="1" s="1"/>
  <c r="K2312" i="1" a="1"/>
  <c r="K2312" i="1" s="1"/>
  <c r="J2306" i="1" a="1"/>
  <c r="J2306" i="1" s="1"/>
  <c r="J2310" i="1" a="1"/>
  <c r="J2310" i="1" s="1"/>
  <c r="K2308" i="1" a="1"/>
  <c r="K2308" i="1" s="1"/>
  <c r="J2312" i="1" a="1"/>
  <c r="J2312" i="1" s="1"/>
  <c r="K2306" i="1" a="1"/>
  <c r="K2306" i="1" s="1"/>
  <c r="L2310" i="1" a="1"/>
  <c r="L2310" i="1" s="1"/>
  <c r="K2310" i="1" a="1"/>
  <c r="K2310" i="1" s="1"/>
  <c r="L2308" i="1" a="1"/>
  <c r="L2308" i="1" s="1"/>
  <c r="K2292" i="1" a="1"/>
  <c r="K2292" i="1" s="1"/>
  <c r="L2303" i="1" a="1"/>
  <c r="L2303" i="1" s="1"/>
  <c r="K2302" i="1" a="1"/>
  <c r="K2302" i="1" s="1"/>
  <c r="K2294" i="1" a="1"/>
  <c r="K2294" i="1" s="1"/>
  <c r="K2300" i="1" a="1"/>
  <c r="K2300" i="1" s="1"/>
  <c r="L2298" i="1" a="1"/>
  <c r="L2298" i="1" s="1"/>
  <c r="K2298" i="1" a="1"/>
  <c r="K2298" i="1" s="1"/>
  <c r="J2304" i="1" a="1"/>
  <c r="J2304" i="1" s="1"/>
  <c r="L2297" i="1" a="1"/>
  <c r="L2297" i="1" s="1"/>
  <c r="J2297" i="1" a="1"/>
  <c r="J2297" i="1" s="1"/>
  <c r="L2300" i="1" a="1"/>
  <c r="L2300" i="1" s="1"/>
  <c r="J2298" i="1" a="1"/>
  <c r="J2298" i="1" s="1"/>
  <c r="J2303" i="1" a="1"/>
  <c r="J2303" i="1" s="1"/>
  <c r="L2292" i="1" a="1"/>
  <c r="L2292" i="1" s="1"/>
  <c r="J2302" i="1" a="1"/>
  <c r="J2302" i="1" s="1"/>
  <c r="J2292" i="1" a="1"/>
  <c r="J2292" i="1" s="1"/>
  <c r="K2297" i="1" a="1"/>
  <c r="K2297" i="1" s="1"/>
  <c r="K2304" i="1" a="1"/>
  <c r="K2304" i="1" s="1"/>
  <c r="K2303" i="1" a="1"/>
  <c r="K2303" i="1" s="1"/>
  <c r="J2294" i="1" a="1"/>
  <c r="J2294" i="1" s="1"/>
  <c r="J2300" i="1" a="1"/>
  <c r="J2300" i="1" s="1"/>
  <c r="L2302" i="1" a="1"/>
  <c r="L2302" i="1" s="1"/>
  <c r="L2294" i="1" a="1"/>
  <c r="L2294" i="1" s="1"/>
  <c r="L2282" i="1" a="1"/>
  <c r="L2282" i="1" s="1"/>
  <c r="K2278" i="1" a="1"/>
  <c r="K2278" i="1" s="1"/>
  <c r="L2288" i="1" a="1"/>
  <c r="L2288" i="1" s="1"/>
  <c r="J2288" i="1" a="1"/>
  <c r="J2288" i="1" s="1"/>
  <c r="J2282" i="1" a="1"/>
  <c r="J2282" i="1" s="1"/>
  <c r="L2286" i="1" a="1"/>
  <c r="L2286" i="1" s="1"/>
  <c r="J2278" i="1" a="1"/>
  <c r="J2278" i="1" s="1"/>
  <c r="L2290" i="1" a="1"/>
  <c r="L2290" i="1" s="1"/>
  <c r="K2290" i="1" a="1"/>
  <c r="K2290" i="1" s="1"/>
  <c r="J2290" i="1" a="1"/>
  <c r="J2290" i="1" s="1"/>
  <c r="K2281" i="1" a="1"/>
  <c r="K2281" i="1" s="1"/>
  <c r="L2280" i="1" a="1"/>
  <c r="L2280" i="1" s="1"/>
  <c r="K2284" i="1" a="1"/>
  <c r="K2284" i="1" s="1"/>
  <c r="K2282" i="1" a="1"/>
  <c r="K2282" i="1" s="1"/>
  <c r="J2281" i="1" a="1"/>
  <c r="J2281" i="1" s="1"/>
  <c r="L2278" i="1" a="1"/>
  <c r="L2278" i="1" s="1"/>
  <c r="L2284" i="1" a="1"/>
  <c r="L2284" i="1" s="1"/>
  <c r="K2280" i="1" a="1"/>
  <c r="K2280" i="1" s="1"/>
  <c r="J2286" i="1" a="1"/>
  <c r="J2286" i="1" s="1"/>
  <c r="L2281" i="1" a="1"/>
  <c r="L2281" i="1" s="1"/>
  <c r="K2288" i="1" a="1"/>
  <c r="K2288" i="1" s="1"/>
  <c r="K2286" i="1" a="1"/>
  <c r="K2286" i="1" s="1"/>
  <c r="J2280" i="1" a="1"/>
  <c r="J2280" i="1" s="1"/>
  <c r="J2284" i="1" a="1"/>
  <c r="J2284" i="1" s="1"/>
  <c r="K2274" i="1" a="1"/>
  <c r="K2274" i="1" s="1"/>
  <c r="J2271" i="1" a="1"/>
  <c r="J2271" i="1" s="1"/>
  <c r="L2265" i="1" a="1"/>
  <c r="L2265" i="1" s="1"/>
  <c r="J2265" i="1" a="1"/>
  <c r="J2265" i="1" s="1"/>
  <c r="J2269" i="1" a="1"/>
  <c r="J2269" i="1" s="1"/>
  <c r="K2277" i="1" a="1"/>
  <c r="K2277" i="1" s="1"/>
  <c r="L2271" i="1" a="1"/>
  <c r="L2271" i="1" s="1"/>
  <c r="K2271" i="1" a="1"/>
  <c r="K2271" i="1" s="1"/>
  <c r="L2277" i="1" a="1"/>
  <c r="L2277" i="1" s="1"/>
  <c r="J2277" i="1" a="1"/>
  <c r="J2277" i="1" s="1"/>
  <c r="L2274" i="1" a="1"/>
  <c r="L2274" i="1" s="1"/>
  <c r="K2269" i="1" a="1"/>
  <c r="K2269" i="1" s="1"/>
  <c r="K2267" i="1" a="1"/>
  <c r="K2267" i="1" s="1"/>
  <c r="L2275" i="1" a="1"/>
  <c r="L2275" i="1" s="1"/>
  <c r="K2275" i="1" a="1"/>
  <c r="K2275" i="1" s="1"/>
  <c r="K2265" i="1" a="1"/>
  <c r="K2265" i="1" s="1"/>
  <c r="J2275" i="1" a="1"/>
  <c r="J2275" i="1" s="1"/>
  <c r="J2274" i="1" a="1"/>
  <c r="J2274" i="1" s="1"/>
  <c r="L2269" i="1" a="1"/>
  <c r="L2269" i="1" s="1"/>
  <c r="L2267" i="1" a="1"/>
  <c r="L2267" i="1" s="1"/>
  <c r="J2267" i="1" a="1"/>
  <c r="J2267" i="1" s="1"/>
  <c r="K2260" i="1" a="1"/>
  <c r="K2260" i="1" s="1"/>
  <c r="L2255" i="1" a="1"/>
  <c r="L2255" i="1" s="1"/>
  <c r="L2250" i="1" a="1"/>
  <c r="L2250" i="1" s="1"/>
  <c r="L2256" i="1" a="1"/>
  <c r="L2256" i="1" s="1"/>
  <c r="L2263" i="1" a="1"/>
  <c r="L2263" i="1" s="1"/>
  <c r="K2263" i="1" a="1"/>
  <c r="K2263" i="1" s="1"/>
  <c r="J2263" i="1" a="1"/>
  <c r="J2263" i="1" s="1"/>
  <c r="L2261" i="1" a="1"/>
  <c r="L2261" i="1" s="1"/>
  <c r="J2255" i="1" a="1"/>
  <c r="J2255" i="1" s="1"/>
  <c r="J2250" i="1" a="1"/>
  <c r="J2250" i="1" s="1"/>
  <c r="K2261" i="1" a="1"/>
  <c r="K2261" i="1" s="1"/>
  <c r="J2256" i="1" a="1"/>
  <c r="J2256" i="1" s="1"/>
  <c r="L2258" i="1" a="1"/>
  <c r="L2258" i="1" s="1"/>
  <c r="K2256" i="1" a="1"/>
  <c r="K2256" i="1" s="1"/>
  <c r="J2261" i="1" a="1"/>
  <c r="J2261" i="1" s="1"/>
  <c r="L2260" i="1" a="1"/>
  <c r="L2260" i="1" s="1"/>
  <c r="J2252" i="1" a="1"/>
  <c r="J2252" i="1" s="1"/>
  <c r="J2260" i="1" a="1"/>
  <c r="J2260" i="1" s="1"/>
  <c r="K2258" i="1" a="1"/>
  <c r="K2258" i="1" s="1"/>
  <c r="K2255" i="1" a="1"/>
  <c r="K2255" i="1" s="1"/>
  <c r="L2252" i="1" a="1"/>
  <c r="L2252" i="1" s="1"/>
  <c r="K2250" i="1" a="1"/>
  <c r="K2250" i="1" s="1"/>
  <c r="J2258" i="1" a="1"/>
  <c r="J2258" i="1" s="1"/>
  <c r="K2252" i="1" a="1"/>
  <c r="K2252" i="1" s="1"/>
  <c r="J2244" i="1" a="1"/>
  <c r="J2244" i="1" s="1"/>
  <c r="K2244" i="1" a="1"/>
  <c r="K2244" i="1" s="1"/>
  <c r="L2237" i="1" a="1"/>
  <c r="L2237" i="1" s="1"/>
  <c r="J2236" i="1" a="1"/>
  <c r="J2236" i="1" s="1"/>
  <c r="K2241" i="1" a="1"/>
  <c r="K2241" i="1" s="1"/>
  <c r="L2239" i="1" a="1"/>
  <c r="L2239" i="1" s="1"/>
  <c r="K2242" i="1" a="1"/>
  <c r="K2242" i="1" s="1"/>
  <c r="J2242" i="1" a="1"/>
  <c r="J2242" i="1" s="1"/>
  <c r="K2237" i="1" a="1"/>
  <c r="K2237" i="1" s="1"/>
  <c r="J2239" i="1" a="1"/>
  <c r="J2239" i="1" s="1"/>
  <c r="L2241" i="1" a="1"/>
  <c r="L2241" i="1" s="1"/>
  <c r="L2242" i="1" a="1"/>
  <c r="L2242" i="1" s="1"/>
  <c r="J2237" i="1" a="1"/>
  <c r="J2237" i="1" s="1"/>
  <c r="L2248" i="1" a="1"/>
  <c r="L2248" i="1" s="1"/>
  <c r="K2246" i="1" a="1"/>
  <c r="K2246" i="1" s="1"/>
  <c r="K2248" i="1" a="1"/>
  <c r="K2248" i="1" s="1"/>
  <c r="J2248" i="1" a="1"/>
  <c r="J2248" i="1" s="1"/>
  <c r="J2246" i="1" a="1"/>
  <c r="J2246" i="1" s="1"/>
  <c r="L2246" i="1" a="1"/>
  <c r="L2246" i="1" s="1"/>
  <c r="L2244" i="1" a="1"/>
  <c r="L2244" i="1" s="1"/>
  <c r="J2241" i="1" a="1"/>
  <c r="J2241" i="1" s="1"/>
  <c r="K2239" i="1" a="1"/>
  <c r="K2239" i="1" s="1"/>
  <c r="L2236" i="1" a="1"/>
  <c r="L2236" i="1" s="1"/>
  <c r="K2236" i="1" a="1"/>
  <c r="K2236" i="1" s="1"/>
  <c r="L1900" i="1" a="1"/>
  <c r="L1900" i="1" s="1"/>
  <c r="J1900" i="1" a="1"/>
  <c r="J1900" i="1" s="1"/>
  <c r="K1902" i="1" a="1"/>
  <c r="K1902" i="1" s="1"/>
  <c r="L1898" i="1" a="1"/>
  <c r="L1898" i="1" s="1"/>
  <c r="K1898" i="1" a="1"/>
  <c r="K1898" i="1" s="1"/>
  <c r="J1902" i="1" a="1"/>
  <c r="J1902" i="1" s="1"/>
  <c r="K1900" i="1" a="1"/>
  <c r="K1900" i="1" s="1"/>
  <c r="J1898" i="1" a="1"/>
  <c r="J1898" i="1" s="1"/>
  <c r="L1902" i="1" a="1"/>
  <c r="L1902" i="1" s="1"/>
  <c r="L1894" i="1" a="1"/>
  <c r="L1894" i="1" s="1"/>
  <c r="L1896" i="1" a="1"/>
  <c r="L1896" i="1" s="1"/>
  <c r="K1896" i="1" a="1"/>
  <c r="K1896" i="1" s="1"/>
  <c r="J1896" i="1" a="1"/>
  <c r="J1896" i="1" s="1"/>
  <c r="K1894" i="1" a="1"/>
  <c r="K1894" i="1" s="1"/>
  <c r="K1893" i="1" a="1"/>
  <c r="K1893" i="1" s="1"/>
  <c r="J1894" i="1" a="1"/>
  <c r="J1894" i="1" s="1"/>
  <c r="J1893" i="1" a="1"/>
  <c r="J1893" i="1" s="1"/>
  <c r="L1893" i="1" a="1"/>
  <c r="L1893" i="1" s="1"/>
  <c r="L1892" i="1" a="1"/>
  <c r="L1892" i="1" s="1"/>
  <c r="K1892" i="1" a="1"/>
  <c r="K1892" i="1" s="1"/>
  <c r="J1892" i="1" a="1"/>
  <c r="J1892" i="1" s="1"/>
  <c r="J1878" i="1" a="1"/>
  <c r="J1878" i="1" s="1"/>
  <c r="K1884" i="1" a="1"/>
  <c r="K1884" i="1" s="1"/>
  <c r="J1880" i="1" a="1"/>
  <c r="J1880" i="1" s="1"/>
  <c r="L1878" i="1" a="1"/>
  <c r="L1878" i="1" s="1"/>
  <c r="J1882" i="1" a="1"/>
  <c r="J1882" i="1" s="1"/>
  <c r="J1884" i="1" a="1"/>
  <c r="J1884" i="1" s="1"/>
  <c r="L1887" i="1" a="1"/>
  <c r="L1887" i="1" s="1"/>
  <c r="L1890" i="1" a="1"/>
  <c r="L1890" i="1" s="1"/>
  <c r="K1882" i="1" a="1"/>
  <c r="K1882" i="1" s="1"/>
  <c r="J1887" i="1" a="1"/>
  <c r="J1887" i="1" s="1"/>
  <c r="K1888" i="1" a="1"/>
  <c r="K1888" i="1" s="1"/>
  <c r="K1887" i="1" a="1"/>
  <c r="K1887" i="1" s="1"/>
  <c r="K1880" i="1" a="1"/>
  <c r="K1880" i="1" s="1"/>
  <c r="L1882" i="1" a="1"/>
  <c r="L1882" i="1" s="1"/>
  <c r="K1890" i="1" a="1"/>
  <c r="K1890" i="1" s="1"/>
  <c r="J1890" i="1" a="1"/>
  <c r="J1890" i="1" s="1"/>
  <c r="L1888" i="1" a="1"/>
  <c r="L1888" i="1" s="1"/>
  <c r="J1888" i="1" a="1"/>
  <c r="J1888" i="1" s="1"/>
  <c r="L1884" i="1" a="1"/>
  <c r="L1884" i="1" s="1"/>
  <c r="K1878" i="1" a="1"/>
  <c r="K1878" i="1" s="1"/>
  <c r="L1880" i="1" a="1"/>
  <c r="L1880" i="1" s="1"/>
  <c r="K1874" i="1" a="1"/>
  <c r="K1874" i="1" s="1"/>
  <c r="L1871" i="1" a="1"/>
  <c r="L1871" i="1" s="1"/>
  <c r="J1872" i="1" a="1"/>
  <c r="J1872" i="1" s="1"/>
  <c r="L1876" i="1" a="1"/>
  <c r="L1876" i="1" s="1"/>
  <c r="K1871" i="1" a="1"/>
  <c r="K1871" i="1" s="1"/>
  <c r="K1867" i="1" a="1"/>
  <c r="K1867" i="1" s="1"/>
  <c r="K1876" i="1" a="1"/>
  <c r="K1876" i="1" s="1"/>
  <c r="J1871" i="1" a="1"/>
  <c r="J1871" i="1" s="1"/>
  <c r="J1868" i="1" a="1"/>
  <c r="J1868" i="1" s="1"/>
  <c r="L1867" i="1" a="1"/>
  <c r="L1867" i="1" s="1"/>
  <c r="J1874" i="1" a="1"/>
  <c r="J1874" i="1" s="1"/>
  <c r="J1867" i="1" a="1"/>
  <c r="J1867" i="1" s="1"/>
  <c r="J1870" i="1" a="1"/>
  <c r="J1870" i="1" s="1"/>
  <c r="L1872" i="1" a="1"/>
  <c r="L1872" i="1" s="1"/>
  <c r="K1868" i="1" a="1"/>
  <c r="K1868" i="1" s="1"/>
  <c r="K1870" i="1" a="1"/>
  <c r="K1870" i="1" s="1"/>
  <c r="L1870" i="1" a="1"/>
  <c r="L1870" i="1" s="1"/>
  <c r="J1876" i="1" a="1"/>
  <c r="J1876" i="1" s="1"/>
  <c r="L1874" i="1" a="1"/>
  <c r="L1874" i="1" s="1"/>
  <c r="L1868" i="1" a="1"/>
  <c r="L1868" i="1" s="1"/>
  <c r="K1872" i="1" a="1"/>
  <c r="K1872" i="1" s="1"/>
  <c r="J1861" i="1" a="1"/>
  <c r="J1861" i="1" s="1"/>
  <c r="K1865" i="1" a="1"/>
  <c r="K1865" i="1" s="1"/>
  <c r="L1861" i="1" a="1"/>
  <c r="L1861" i="1" s="1"/>
  <c r="L1864" i="1" a="1"/>
  <c r="L1864" i="1" s="1"/>
  <c r="J1864" i="1" a="1"/>
  <c r="J1864" i="1" s="1"/>
  <c r="J1859" i="1" a="1"/>
  <c r="J1859" i="1" s="1"/>
  <c r="K1864" i="1" a="1"/>
  <c r="K1864" i="1" s="1"/>
  <c r="K1859" i="1" a="1"/>
  <c r="K1859" i="1" s="1"/>
  <c r="J1865" i="1" a="1"/>
  <c r="J1865" i="1" s="1"/>
  <c r="L1865" i="1" a="1"/>
  <c r="L1865" i="1" s="1"/>
  <c r="L1859" i="1" a="1"/>
  <c r="L1859" i="1" s="1"/>
  <c r="K1861" i="1" a="1"/>
  <c r="K1861" i="1" s="1"/>
  <c r="J1851" i="1" a="1"/>
  <c r="J1851" i="1" s="1"/>
  <c r="K1857" i="1" a="1"/>
  <c r="K1857" i="1" s="1"/>
  <c r="L1853" i="1" a="1"/>
  <c r="L1853" i="1" s="1"/>
  <c r="J1855" i="1" a="1"/>
  <c r="J1855" i="1" s="1"/>
  <c r="L1850" i="1" a="1"/>
  <c r="L1850" i="1" s="1"/>
  <c r="L1851" i="1" a="1"/>
  <c r="L1851" i="1" s="1"/>
  <c r="K1853" i="1" a="1"/>
  <c r="K1853" i="1" s="1"/>
  <c r="L1857" i="1" a="1"/>
  <c r="L1857" i="1" s="1"/>
  <c r="L1855" i="1" a="1"/>
  <c r="L1855" i="1" s="1"/>
  <c r="J1857" i="1" a="1"/>
  <c r="J1857" i="1" s="1"/>
  <c r="K1850" i="1" a="1"/>
  <c r="K1850" i="1" s="1"/>
  <c r="J1853" i="1" a="1"/>
  <c r="J1853" i="1" s="1"/>
  <c r="K1851" i="1" a="1"/>
  <c r="K1851" i="1" s="1"/>
  <c r="J1850" i="1" a="1"/>
  <c r="J1850" i="1" s="1"/>
  <c r="K1855" i="1" a="1"/>
  <c r="K1855" i="1" s="1"/>
  <c r="J1845" i="1" a="1"/>
  <c r="J1845" i="1" s="1"/>
  <c r="J1842" i="1" a="1"/>
  <c r="J1842" i="1" s="1"/>
  <c r="J1846" i="1" a="1"/>
  <c r="J1846" i="1" s="1"/>
  <c r="L1845" i="1" a="1"/>
  <c r="L1845" i="1" s="1"/>
  <c r="K1845" i="1" a="1"/>
  <c r="K1845" i="1" s="1"/>
  <c r="K1840" i="1" a="1"/>
  <c r="K1840" i="1" s="1"/>
  <c r="L1840" i="1" a="1"/>
  <c r="L1840" i="1" s="1"/>
  <c r="J1848" i="1" a="1"/>
  <c r="J1848" i="1" s="1"/>
  <c r="L1846" i="1" a="1"/>
  <c r="L1846" i="1" s="1"/>
  <c r="K1848" i="1" a="1"/>
  <c r="K1848" i="1" s="1"/>
  <c r="L1848" i="1" a="1"/>
  <c r="L1848" i="1" s="1"/>
  <c r="L1842" i="1" a="1"/>
  <c r="L1842" i="1" s="1"/>
  <c r="K1842" i="1" a="1"/>
  <c r="K1842" i="1" s="1"/>
  <c r="J1840" i="1" a="1"/>
  <c r="J1840" i="1" s="1"/>
  <c r="K1846" i="1" a="1"/>
  <c r="K1846" i="1" s="1"/>
  <c r="K1832" i="1" a="1"/>
  <c r="K1832" i="1" s="1"/>
  <c r="J1829" i="1" a="1"/>
  <c r="J1829" i="1" s="1"/>
  <c r="L1829" i="1" a="1"/>
  <c r="L1829" i="1" s="1"/>
  <c r="L1838" i="1" a="1"/>
  <c r="L1838" i="1" s="1"/>
  <c r="K1838" i="1" a="1"/>
  <c r="K1838" i="1" s="1"/>
  <c r="J1838" i="1" a="1"/>
  <c r="J1838" i="1" s="1"/>
  <c r="J1836" i="1" a="1"/>
  <c r="J1836" i="1" s="1"/>
  <c r="K1829" i="1" a="1"/>
  <c r="K1829" i="1" s="1"/>
  <c r="L1834" i="1" a="1"/>
  <c r="L1834" i="1" s="1"/>
  <c r="J1831" i="1" a="1"/>
  <c r="J1831" i="1" s="1"/>
  <c r="K1834" i="1" a="1"/>
  <c r="K1834" i="1" s="1"/>
  <c r="L1827" i="1" a="1"/>
  <c r="L1827" i="1" s="1"/>
  <c r="L1836" i="1" a="1"/>
  <c r="L1836" i="1" s="1"/>
  <c r="K1836" i="1" a="1"/>
  <c r="K1836" i="1" s="1"/>
  <c r="K1827" i="1" a="1"/>
  <c r="K1827" i="1" s="1"/>
  <c r="J1834" i="1" a="1"/>
  <c r="J1834" i="1" s="1"/>
  <c r="L1832" i="1" a="1"/>
  <c r="L1832" i="1" s="1"/>
  <c r="K1831" i="1" a="1"/>
  <c r="K1831" i="1" s="1"/>
  <c r="J1832" i="1" a="1"/>
  <c r="J1832" i="1" s="1"/>
  <c r="L1831" i="1" a="1"/>
  <c r="L1831" i="1" s="1"/>
  <c r="J1827" i="1" a="1"/>
  <c r="J1827" i="1" s="1"/>
  <c r="L1826" i="1" a="1"/>
  <c r="L1826" i="1" s="1"/>
  <c r="J1826" i="1" a="1"/>
  <c r="J1826" i="1" s="1"/>
  <c r="K1826" i="1" a="1"/>
  <c r="K182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L96" i="1"/>
  <c r="L128" i="1" s="1"/>
  <c r="K96" i="1"/>
  <c r="K128" i="1" s="1"/>
  <c r="J96" i="1"/>
  <c r="L95" i="1"/>
  <c r="K95" i="1"/>
  <c r="J95" i="1"/>
  <c r="L94" i="1"/>
  <c r="L126" i="1" s="1"/>
  <c r="K94" i="1"/>
  <c r="K126" i="1" s="1"/>
  <c r="J94" i="1"/>
  <c r="J126" i="1" s="1"/>
  <c r="L93" i="1"/>
  <c r="K93" i="1"/>
  <c r="K125" i="1" s="1"/>
  <c r="J93" i="1"/>
  <c r="J125" i="1" s="1"/>
  <c r="L92" i="1"/>
  <c r="L124" i="1" s="1"/>
  <c r="K92" i="1"/>
  <c r="K124" i="1" s="1"/>
  <c r="J92" i="1"/>
  <c r="L91" i="1"/>
  <c r="K91" i="1"/>
  <c r="J91" i="1"/>
  <c r="L90" i="1"/>
  <c r="L122" i="1" s="1"/>
  <c r="K90" i="1"/>
  <c r="K122" i="1" s="1"/>
  <c r="J90" i="1"/>
  <c r="J122" i="1" s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J120" i="1" s="1"/>
  <c r="L87" i="1"/>
  <c r="L119" i="1" s="1"/>
  <c r="K87" i="1"/>
  <c r="K119" i="1" s="1"/>
  <c r="J87" i="1"/>
  <c r="J119" i="1" s="1"/>
  <c r="L86" i="1"/>
  <c r="K86" i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4" i="1" a="1"/>
  <c r="J1644" i="1" s="1"/>
  <c r="K1644" i="1" a="1"/>
  <c r="K1644" i="1" s="1"/>
  <c r="L1644" i="1" a="1"/>
  <c r="L1644" i="1" s="1"/>
  <c r="L1648" i="1" a="1"/>
  <c r="L1648" i="1" s="1"/>
  <c r="K1648" i="1" a="1"/>
  <c r="K1648" i="1" s="1"/>
  <c r="J1648" i="1" a="1"/>
  <c r="J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J617" i="1" a="1"/>
  <c r="J617" i="1" s="1"/>
  <c r="L618" i="1" a="1"/>
  <c r="L618" i="1" s="1"/>
  <c r="J619" i="1" a="1"/>
  <c r="J619" i="1" s="1"/>
  <c r="J620" i="1" a="1"/>
  <c r="J620" i="1" s="1"/>
  <c r="K619" i="1" a="1"/>
  <c r="K619" i="1" s="1"/>
  <c r="J618" i="1" a="1"/>
  <c r="J618" i="1" s="1"/>
  <c r="L617" i="1" a="1"/>
  <c r="L617" i="1" s="1"/>
  <c r="L623" i="1" a="1"/>
  <c r="L623" i="1" s="1"/>
  <c r="K623" i="1" a="1"/>
  <c r="K623" i="1" s="1"/>
  <c r="J623" i="1" a="1"/>
  <c r="J623" i="1" s="1"/>
  <c r="L619" i="1" a="1"/>
  <c r="L619" i="1" s="1"/>
  <c r="K618" i="1" a="1"/>
  <c r="K618" i="1" s="1"/>
  <c r="L622" i="1" a="1"/>
  <c r="L622" i="1" s="1"/>
  <c r="J622" i="1" a="1"/>
  <c r="J622" i="1" s="1"/>
  <c r="K617" i="1" a="1"/>
  <c r="K617" i="1" s="1"/>
  <c r="K622" i="1" a="1"/>
  <c r="K622" i="1" s="1"/>
  <c r="L620" i="1" a="1"/>
  <c r="L620" i="1" s="1"/>
  <c r="K620" i="1" a="1"/>
  <c r="K620" i="1" s="1"/>
  <c r="L607" i="1" a="1"/>
  <c r="L607" i="1" s="1"/>
  <c r="L610" i="1" a="1"/>
  <c r="L610" i="1" s="1"/>
  <c r="K610" i="1" a="1"/>
  <c r="K610" i="1" s="1"/>
  <c r="L609" i="1" a="1"/>
  <c r="L609" i="1" s="1"/>
  <c r="J609" i="1" a="1"/>
  <c r="J609" i="1" s="1"/>
  <c r="J610" i="1" a="1"/>
  <c r="J610" i="1" s="1"/>
  <c r="K609" i="1" a="1"/>
  <c r="K609" i="1" s="1"/>
  <c r="K606" i="1" a="1"/>
  <c r="K606" i="1" s="1"/>
  <c r="J606" i="1" a="1"/>
  <c r="J606" i="1" s="1"/>
  <c r="L603" i="1" a="1"/>
  <c r="L603" i="1" s="1"/>
  <c r="L602" i="1" a="1"/>
  <c r="L602" i="1" s="1"/>
  <c r="K603" i="1" a="1"/>
  <c r="K603" i="1" s="1"/>
  <c r="K607" i="1" a="1"/>
  <c r="K607" i="1" s="1"/>
  <c r="J607" i="1" a="1"/>
  <c r="J607" i="1" s="1"/>
  <c r="J603" i="1" a="1"/>
  <c r="J603" i="1" s="1"/>
  <c r="J602" i="1" a="1"/>
  <c r="J602" i="1" s="1"/>
  <c r="K602" i="1" a="1"/>
  <c r="K602" i="1" s="1"/>
  <c r="L606" i="1" a="1"/>
  <c r="L606" i="1" s="1"/>
  <c r="L592" i="1" a="1"/>
  <c r="L592" i="1" s="1"/>
  <c r="K589" i="1" a="1"/>
  <c r="K589" i="1" s="1"/>
  <c r="L589" i="1" a="1"/>
  <c r="L589" i="1" s="1"/>
  <c r="J595" i="1" a="1"/>
  <c r="J595" i="1" s="1"/>
  <c r="L593" i="1" a="1"/>
  <c r="L593" i="1" s="1"/>
  <c r="K592" i="1" a="1"/>
  <c r="K592" i="1" s="1"/>
  <c r="L596" i="1" a="1"/>
  <c r="L596" i="1" s="1"/>
  <c r="J596" i="1" a="1"/>
  <c r="J596" i="1" s="1"/>
  <c r="K593" i="1" a="1"/>
  <c r="K593" i="1" s="1"/>
  <c r="K596" i="1" a="1"/>
  <c r="K596" i="1" s="1"/>
  <c r="L595" i="1" a="1"/>
  <c r="L595" i="1" s="1"/>
  <c r="K595" i="1" a="1"/>
  <c r="K595" i="1" s="1"/>
  <c r="J593" i="1" a="1"/>
  <c r="J593" i="1" s="1"/>
  <c r="J592" i="1" a="1"/>
  <c r="J592" i="1" s="1"/>
  <c r="J589" i="1" a="1"/>
  <c r="J589" i="1" s="1"/>
  <c r="J585" i="1" a="1"/>
  <c r="J585" i="1" s="1"/>
  <c r="L584" i="1" a="1"/>
  <c r="L584" i="1" s="1"/>
  <c r="K585" i="1" a="1"/>
  <c r="K585" i="1" s="1"/>
  <c r="L588" i="1" a="1"/>
  <c r="L588" i="1" s="1"/>
  <c r="K588" i="1" a="1"/>
  <c r="K588" i="1" s="1"/>
  <c r="J584" i="1" a="1"/>
  <c r="J584" i="1" s="1"/>
  <c r="J588" i="1" a="1"/>
  <c r="J588" i="1" s="1"/>
  <c r="K584" i="1" a="1"/>
  <c r="K584" i="1" s="1"/>
  <c r="L585" i="1" a="1"/>
  <c r="L585" i="1" s="1"/>
  <c r="K31" i="1" a="1"/>
  <c r="K31" i="1" s="1"/>
  <c r="L31" i="1" a="1"/>
  <c r="L31" i="1" s="1"/>
  <c r="J31" i="1" a="1"/>
  <c r="J31" i="1" s="1"/>
  <c r="J2336" i="1" a="1"/>
  <c r="J2336" i="1" s="1"/>
  <c r="J2335" i="1" a="1"/>
  <c r="J2335" i="1" s="1"/>
  <c r="K2339" i="1" a="1"/>
  <c r="K2339" i="1" s="1"/>
  <c r="L2337" i="1" a="1"/>
  <c r="L2337" i="1" s="1"/>
  <c r="K2340" i="1" a="1"/>
  <c r="K2340" i="1" s="1"/>
  <c r="J2340" i="1" a="1"/>
  <c r="J2340" i="1" s="1"/>
  <c r="L2340" i="1" a="1"/>
  <c r="L2340" i="1" s="1"/>
  <c r="J2339" i="1" a="1"/>
  <c r="J2339" i="1" s="1"/>
  <c r="L2336" i="1" a="1"/>
  <c r="L2336" i="1" s="1"/>
  <c r="J2337" i="1" a="1"/>
  <c r="J2337" i="1" s="1"/>
  <c r="L2339" i="1" a="1"/>
  <c r="L2339" i="1" s="1"/>
  <c r="K2337" i="1" a="1"/>
  <c r="K2337" i="1" s="1"/>
  <c r="L2338" i="1" a="1"/>
  <c r="L2338" i="1" s="1"/>
  <c r="K2338" i="1" a="1"/>
  <c r="K2338" i="1" s="1"/>
  <c r="K2336" i="1" a="1"/>
  <c r="K2336" i="1" s="1"/>
  <c r="K2335" i="1" a="1"/>
  <c r="K2335" i="1" s="1"/>
  <c r="L2335" i="1" a="1"/>
  <c r="L2335" i="1" s="1"/>
  <c r="J2338" i="1" a="1"/>
  <c r="J2338" i="1" s="1"/>
  <c r="J2332" i="1" a="1"/>
  <c r="J2332" i="1" s="1"/>
  <c r="J2327" i="1" a="1"/>
  <c r="J2327" i="1" s="1"/>
  <c r="K2334" i="1" a="1"/>
  <c r="K2334" i="1" s="1"/>
  <c r="K2330" i="1" a="1"/>
  <c r="K2330" i="1" s="1"/>
  <c r="K2331" i="1" a="1"/>
  <c r="K2331" i="1" s="1"/>
  <c r="K2328" i="1" a="1"/>
  <c r="K2328" i="1" s="1"/>
  <c r="J2326" i="1" a="1"/>
  <c r="J2326" i="1" s="1"/>
  <c r="K2326" i="1" a="1"/>
  <c r="K2326" i="1" s="1"/>
  <c r="J2333" i="1" a="1"/>
  <c r="J2333" i="1" s="1"/>
  <c r="J2328" i="1" a="1"/>
  <c r="J2328" i="1" s="1"/>
  <c r="K2329" i="1" a="1"/>
  <c r="K2329" i="1" s="1"/>
  <c r="J2331" i="1" a="1"/>
  <c r="J2331" i="1" s="1"/>
  <c r="L2329" i="1" a="1"/>
  <c r="L2329" i="1" s="1"/>
  <c r="J2330" i="1" a="1"/>
  <c r="J2330" i="1" s="1"/>
  <c r="K2327" i="1" a="1"/>
  <c r="K2327" i="1" s="1"/>
  <c r="L2334" i="1" a="1"/>
  <c r="L2334" i="1" s="1"/>
  <c r="L2327" i="1" a="1"/>
  <c r="L2327" i="1" s="1"/>
  <c r="L2328" i="1" a="1"/>
  <c r="L2328" i="1" s="1"/>
  <c r="J2334" i="1" a="1"/>
  <c r="J2334" i="1" s="1"/>
  <c r="L2333" i="1" a="1"/>
  <c r="L2333" i="1" s="1"/>
  <c r="K2333" i="1" a="1"/>
  <c r="K2333" i="1" s="1"/>
  <c r="L2332" i="1" a="1"/>
  <c r="L2332" i="1" s="1"/>
  <c r="L2326" i="1" a="1"/>
  <c r="L2326" i="1" s="1"/>
  <c r="K2332" i="1" a="1"/>
  <c r="K2332" i="1" s="1"/>
  <c r="L2331" i="1" a="1"/>
  <c r="L2331" i="1" s="1"/>
  <c r="L2330" i="1" a="1"/>
  <c r="L2330" i="1" s="1"/>
  <c r="J2329" i="1" a="1"/>
  <c r="J2329" i="1" s="1"/>
  <c r="J740" i="1" a="1"/>
  <c r="J740" i="1" s="1"/>
  <c r="L743" i="1" a="1"/>
  <c r="L743" i="1" s="1"/>
  <c r="K743" i="1" a="1"/>
  <c r="K743" i="1" s="1"/>
  <c r="J743" i="1" a="1"/>
  <c r="J743" i="1" s="1"/>
  <c r="L740" i="1" a="1"/>
  <c r="L740" i="1" s="1"/>
  <c r="K740" i="1" a="1"/>
  <c r="K740" i="1" s="1"/>
  <c r="L719" i="1" a="1"/>
  <c r="L719" i="1" s="1"/>
  <c r="K718" i="1" a="1"/>
  <c r="K718" i="1" s="1"/>
  <c r="L720" i="1" a="1"/>
  <c r="L720" i="1" s="1"/>
  <c r="L718" i="1" a="1"/>
  <c r="L718" i="1" s="1"/>
  <c r="J718" i="1" a="1"/>
  <c r="J718" i="1" s="1"/>
  <c r="K724" i="1" a="1"/>
  <c r="K724" i="1" s="1"/>
  <c r="L716" i="1" a="1"/>
  <c r="L716" i="1" s="1"/>
  <c r="K716" i="1" a="1"/>
  <c r="K716" i="1" s="1"/>
  <c r="K719" i="1" a="1"/>
  <c r="K719" i="1" s="1"/>
  <c r="J720" i="1" a="1"/>
  <c r="J720" i="1" s="1"/>
  <c r="L724" i="1" a="1"/>
  <c r="L724" i="1" s="1"/>
  <c r="K720" i="1" a="1"/>
  <c r="K720" i="1" s="1"/>
  <c r="J719" i="1" a="1"/>
  <c r="J719" i="1" s="1"/>
  <c r="L727" i="1" a="1"/>
  <c r="L727" i="1" s="1"/>
  <c r="K727" i="1" a="1"/>
  <c r="K727" i="1" s="1"/>
  <c r="J727" i="1" a="1"/>
  <c r="J727" i="1" s="1"/>
  <c r="J724" i="1" a="1"/>
  <c r="J724" i="1" s="1"/>
  <c r="J716" i="1" a="1"/>
  <c r="J716" i="1" s="1"/>
  <c r="L709" i="1" a="1"/>
  <c r="L709" i="1" s="1"/>
  <c r="L711" i="1" a="1"/>
  <c r="L711" i="1" s="1"/>
  <c r="K709" i="1" a="1"/>
  <c r="K709" i="1" s="1"/>
  <c r="K697" i="1" a="1"/>
  <c r="K697" i="1" s="1"/>
  <c r="J711" i="1" a="1"/>
  <c r="J711" i="1" s="1"/>
  <c r="J709" i="1" a="1"/>
  <c r="J709" i="1" s="1"/>
  <c r="L696" i="1" a="1"/>
  <c r="L696" i="1" s="1"/>
  <c r="K696" i="1" a="1"/>
  <c r="K696" i="1" s="1"/>
  <c r="K711" i="1" a="1"/>
  <c r="K711" i="1" s="1"/>
  <c r="J696" i="1" a="1"/>
  <c r="J696" i="1" s="1"/>
  <c r="L697" i="1" a="1"/>
  <c r="L697" i="1" s="1"/>
  <c r="J697" i="1" a="1"/>
  <c r="J697" i="1" s="1"/>
  <c r="J687" i="1" a="1"/>
  <c r="J687" i="1" s="1"/>
  <c r="J682" i="1" a="1"/>
  <c r="J682" i="1" s="1"/>
  <c r="L682" i="1" a="1"/>
  <c r="L682" i="1" s="1"/>
  <c r="K682" i="1" a="1"/>
  <c r="K682" i="1" s="1"/>
  <c r="L688" i="1" a="1"/>
  <c r="L688" i="1" s="1"/>
  <c r="K687" i="1" a="1"/>
  <c r="K687" i="1" s="1"/>
  <c r="L685" i="1" a="1"/>
  <c r="L685" i="1" s="1"/>
  <c r="K683" i="1" a="1"/>
  <c r="K683" i="1" s="1"/>
  <c r="L681" i="1" a="1"/>
  <c r="L681" i="1" s="1"/>
  <c r="J681" i="1" a="1"/>
  <c r="J681" i="1" s="1"/>
  <c r="K685" i="1" a="1"/>
  <c r="K685" i="1" s="1"/>
  <c r="J685" i="1" a="1"/>
  <c r="J685" i="1" s="1"/>
  <c r="L687" i="1" a="1"/>
  <c r="L687" i="1" s="1"/>
  <c r="K681" i="1" a="1"/>
  <c r="K681" i="1" s="1"/>
  <c r="J683" i="1" a="1"/>
  <c r="J683" i="1" s="1"/>
  <c r="L683" i="1" a="1"/>
  <c r="L683" i="1" s="1"/>
  <c r="K688" i="1" a="1"/>
  <c r="K688" i="1" s="1"/>
  <c r="J688" i="1" a="1"/>
  <c r="J688" i="1" s="1"/>
  <c r="K666" i="1" a="1"/>
  <c r="K666" i="1" s="1"/>
  <c r="K665" i="1" a="1"/>
  <c r="K665" i="1" s="1"/>
  <c r="L664" i="1" a="1"/>
  <c r="L664" i="1" s="1"/>
  <c r="L665" i="1" a="1"/>
  <c r="L665" i="1" s="1"/>
  <c r="J665" i="1" a="1"/>
  <c r="J665" i="1" s="1"/>
  <c r="J664" i="1" a="1"/>
  <c r="J664" i="1" s="1"/>
  <c r="L666" i="1" a="1"/>
  <c r="L666" i="1" s="1"/>
  <c r="J666" i="1" a="1"/>
  <c r="J666" i="1" s="1"/>
  <c r="K664" i="1" a="1"/>
  <c r="K664" i="1" s="1"/>
  <c r="J645" i="1" a="1"/>
  <c r="J645" i="1" s="1"/>
  <c r="L648" i="1" a="1"/>
  <c r="L648" i="1" s="1"/>
  <c r="L647" i="1" a="1"/>
  <c r="L647" i="1" s="1"/>
  <c r="J652" i="1" a="1"/>
  <c r="J652" i="1" s="1"/>
  <c r="L653" i="1" a="1"/>
  <c r="L653" i="1" s="1"/>
  <c r="J653" i="1" a="1"/>
  <c r="J653" i="1" s="1"/>
  <c r="K647" i="1" a="1"/>
  <c r="K647" i="1" s="1"/>
  <c r="J649" i="1" a="1"/>
  <c r="J649" i="1" s="1"/>
  <c r="K645" i="1" a="1"/>
  <c r="K645" i="1" s="1"/>
  <c r="K652" i="1" a="1"/>
  <c r="K652" i="1" s="1"/>
  <c r="J647" i="1" a="1"/>
  <c r="J647" i="1" s="1"/>
  <c r="L652" i="1" a="1"/>
  <c r="L652" i="1" s="1"/>
  <c r="L649" i="1" a="1"/>
  <c r="L649" i="1" s="1"/>
  <c r="J648" i="1" a="1"/>
  <c r="J648" i="1" s="1"/>
  <c r="K650" i="1" a="1"/>
  <c r="K650" i="1" s="1"/>
  <c r="K648" i="1" a="1"/>
  <c r="K648" i="1" s="1"/>
  <c r="K653" i="1" a="1"/>
  <c r="K653" i="1" s="1"/>
  <c r="L650" i="1" a="1"/>
  <c r="L650" i="1" s="1"/>
  <c r="J650" i="1" a="1"/>
  <c r="J650" i="1" s="1"/>
  <c r="L645" i="1" a="1"/>
  <c r="L645" i="1" s="1"/>
  <c r="K649" i="1" a="1"/>
  <c r="K649" i="1" s="1"/>
  <c r="J635" i="1" a="1"/>
  <c r="J635" i="1" s="1"/>
  <c r="K640" i="1" a="1"/>
  <c r="K640" i="1" s="1"/>
  <c r="L637" i="1" a="1"/>
  <c r="L637" i="1" s="1"/>
  <c r="L642" i="1" a="1"/>
  <c r="L642" i="1" s="1"/>
  <c r="L643" i="1" a="1"/>
  <c r="L643" i="1" s="1"/>
  <c r="K638" i="1" a="1"/>
  <c r="K638" i="1" s="1"/>
  <c r="K643" i="1" a="1"/>
  <c r="K643" i="1" s="1"/>
  <c r="J637" i="1" a="1"/>
  <c r="J637" i="1" s="1"/>
  <c r="J640" i="1" a="1"/>
  <c r="J640" i="1" s="1"/>
  <c r="J643" i="1" a="1"/>
  <c r="J643" i="1" s="1"/>
  <c r="K642" i="1" a="1"/>
  <c r="K642" i="1" s="1"/>
  <c r="L635" i="1" a="1"/>
  <c r="L635" i="1" s="1"/>
  <c r="J642" i="1" a="1"/>
  <c r="J642" i="1" s="1"/>
  <c r="L639" i="1" a="1"/>
  <c r="L639" i="1" s="1"/>
  <c r="L640" i="1" a="1"/>
  <c r="L640" i="1" s="1"/>
  <c r="K637" i="1" a="1"/>
  <c r="K637" i="1" s="1"/>
  <c r="K635" i="1" a="1"/>
  <c r="K635" i="1" s="1"/>
  <c r="J638" i="1" a="1"/>
  <c r="J638" i="1" s="1"/>
  <c r="J639" i="1" a="1"/>
  <c r="J639" i="1" s="1"/>
  <c r="L638" i="1" a="1"/>
  <c r="L638" i="1" s="1"/>
  <c r="K639" i="1" a="1"/>
  <c r="K639" i="1" s="1"/>
  <c r="J629" i="1" a="1"/>
  <c r="J629" i="1" s="1"/>
  <c r="J628" i="1" a="1"/>
  <c r="J628" i="1" s="1"/>
  <c r="J625" i="1" a="1"/>
  <c r="J625" i="1" s="1"/>
  <c r="K627" i="1" a="1"/>
  <c r="K627" i="1" s="1"/>
  <c r="K630" i="1" a="1"/>
  <c r="K630" i="1" s="1"/>
  <c r="K628" i="1" a="1"/>
  <c r="K628" i="1" s="1"/>
  <c r="L633" i="1" a="1"/>
  <c r="L633" i="1" s="1"/>
  <c r="K633" i="1" a="1"/>
  <c r="K633" i="1" s="1"/>
  <c r="K629" i="1" a="1"/>
  <c r="K629" i="1" s="1"/>
  <c r="K625" i="1" a="1"/>
  <c r="K625" i="1" s="1"/>
  <c r="J632" i="1" a="1"/>
  <c r="J632" i="1" s="1"/>
  <c r="L632" i="1" a="1"/>
  <c r="L632" i="1" s="1"/>
  <c r="L629" i="1" a="1"/>
  <c r="L629" i="1" s="1"/>
  <c r="L625" i="1" a="1"/>
  <c r="L625" i="1" s="1"/>
  <c r="J633" i="1" a="1"/>
  <c r="J633" i="1" s="1"/>
  <c r="L628" i="1" a="1"/>
  <c r="L628" i="1" s="1"/>
  <c r="L627" i="1" a="1"/>
  <c r="L627" i="1" s="1"/>
  <c r="L630" i="1" a="1"/>
  <c r="L630" i="1" s="1"/>
  <c r="J627" i="1" a="1"/>
  <c r="J627" i="1" s="1"/>
  <c r="K632" i="1" a="1"/>
  <c r="K632" i="1" s="1"/>
  <c r="J630" i="1" a="1"/>
  <c r="J630" i="1" s="1"/>
  <c r="K2314" i="1" a="1"/>
  <c r="K2314" i="1" s="1"/>
  <c r="J2314" i="1" a="1"/>
  <c r="J2314" i="1" s="1"/>
  <c r="L2317" i="1" a="1"/>
  <c r="L2317" i="1" s="1"/>
  <c r="J2316" i="1" a="1"/>
  <c r="J2316" i="1" s="1"/>
  <c r="L2325" i="1" a="1"/>
  <c r="L2325" i="1" s="1"/>
  <c r="K2323" i="1" a="1"/>
  <c r="K2323" i="1" s="1"/>
  <c r="K2322" i="1" s="1" a="1"/>
  <c r="K2322" i="1" s="1"/>
  <c r="L2316" i="1" a="1"/>
  <c r="L2316" i="1" s="1"/>
  <c r="K2325" i="1" a="1"/>
  <c r="K2325" i="1" s="1"/>
  <c r="J2325" i="1" a="1"/>
  <c r="J2325" i="1" s="1"/>
  <c r="L2323" i="1" a="1"/>
  <c r="L2323" i="1" s="1"/>
  <c r="L2322" i="1" s="1" a="1"/>
  <c r="L2322" i="1" s="1"/>
  <c r="J2323" i="1" a="1"/>
  <c r="J2323" i="1" s="1"/>
  <c r="J2322" i="1" s="1" a="1"/>
  <c r="J2322" i="1" s="1"/>
  <c r="J2320" i="1" a="1"/>
  <c r="J2320" i="1" s="1"/>
  <c r="J2319" i="1" s="1" a="1"/>
  <c r="J2319" i="1" s="1"/>
  <c r="K2320" i="1" a="1"/>
  <c r="K2320" i="1" s="1"/>
  <c r="K2319" i="1" s="1" a="1"/>
  <c r="K2319" i="1" s="1"/>
  <c r="L2320" i="1" a="1"/>
  <c r="L2320" i="1" s="1"/>
  <c r="L2319" i="1" s="1" a="1"/>
  <c r="L2319" i="1" s="1"/>
  <c r="K2317" i="1" a="1"/>
  <c r="K2317" i="1" s="1"/>
  <c r="J2317" i="1" a="1"/>
  <c r="J2317" i="1" s="1"/>
  <c r="L2314" i="1" a="1"/>
  <c r="L2314" i="1" s="1"/>
  <c r="K2316" i="1" a="1"/>
  <c r="K2316" i="1" s="1"/>
  <c r="J2047" i="1" a="1"/>
  <c r="J2047" i="1" s="1"/>
  <c r="L2048" i="1" a="1"/>
  <c r="L2048" i="1" s="1"/>
  <c r="J2048" i="1" a="1"/>
  <c r="J2048" i="1" s="1"/>
  <c r="L2047" i="1" a="1"/>
  <c r="L2047" i="1" s="1"/>
  <c r="L2044" i="1" a="1"/>
  <c r="L2044" i="1" s="1"/>
  <c r="L2046" i="1" a="1"/>
  <c r="L2046" i="1" s="1"/>
  <c r="K2047" i="1" a="1"/>
  <c r="K2047" i="1" s="1"/>
  <c r="J2049" i="1" a="1"/>
  <c r="J2049" i="1" s="1"/>
  <c r="J2046" i="1" a="1"/>
  <c r="J2046" i="1" s="1"/>
  <c r="K2044" i="1" a="1"/>
  <c r="K2044" i="1" s="1"/>
  <c r="K2046" i="1" a="1"/>
  <c r="K2046" i="1" s="1"/>
  <c r="K2048" i="1" a="1"/>
  <c r="K2048" i="1" s="1"/>
  <c r="K2049" i="1" a="1"/>
  <c r="K2049" i="1" s="1"/>
  <c r="L2049" i="1" a="1"/>
  <c r="L2049" i="1" s="1"/>
  <c r="J2045" i="1" a="1"/>
  <c r="J2045" i="1" s="1"/>
  <c r="K2045" i="1" a="1"/>
  <c r="K2045" i="1" s="1"/>
  <c r="L2045" i="1" a="1"/>
  <c r="L2045" i="1" s="1"/>
  <c r="K2043" i="1" a="1"/>
  <c r="K2043" i="1" s="1"/>
  <c r="J2043" i="1" a="1"/>
  <c r="J2043" i="1" s="1"/>
  <c r="J2039" i="1" a="1"/>
  <c r="J2039" i="1" s="1"/>
  <c r="J2042" i="1" a="1"/>
  <c r="J2042" i="1" s="1"/>
  <c r="K2038" i="1" a="1"/>
  <c r="K2038" i="1" s="1"/>
  <c r="K2037" i="1" a="1"/>
  <c r="K2037" i="1" s="1"/>
  <c r="J2037" i="1" a="1"/>
  <c r="J2037" i="1" s="1"/>
  <c r="J2044" i="1" a="1"/>
  <c r="J2044" i="1" s="1"/>
  <c r="L2037" i="1" a="1"/>
  <c r="L2037" i="1" s="1"/>
  <c r="K2036" i="1" a="1"/>
  <c r="K2036" i="1" s="1"/>
  <c r="J2041" i="1" a="1"/>
  <c r="J2041" i="1" s="1"/>
  <c r="L2042" i="1" a="1"/>
  <c r="L2042" i="1" s="1"/>
  <c r="J2038" i="1" a="1"/>
  <c r="J2038" i="1" s="1"/>
  <c r="J2036" i="1" a="1"/>
  <c r="J2036" i="1" s="1"/>
  <c r="L2035" i="1" a="1"/>
  <c r="L2035" i="1" s="1"/>
  <c r="L2040" i="1" a="1"/>
  <c r="L2040" i="1" s="1"/>
  <c r="L2043" i="1" a="1"/>
  <c r="L2043" i="1" s="1"/>
  <c r="J2035" i="1" a="1"/>
  <c r="J2035" i="1" s="1"/>
  <c r="K2041" i="1" a="1"/>
  <c r="K2041" i="1" s="1"/>
  <c r="L2039" i="1" a="1"/>
  <c r="L2039" i="1" s="1"/>
  <c r="K2042" i="1" a="1"/>
  <c r="K2042" i="1" s="1"/>
  <c r="K2035" i="1" a="1"/>
  <c r="K2035" i="1" s="1"/>
  <c r="K2039" i="1" a="1"/>
  <c r="K2039" i="1" s="1"/>
  <c r="L2041" i="1" a="1"/>
  <c r="L2041" i="1" s="1"/>
  <c r="K2040" i="1" a="1"/>
  <c r="K2040" i="1" s="1"/>
  <c r="L2038" i="1" a="1"/>
  <c r="L2038" i="1" s="1"/>
  <c r="J2040" i="1" a="1"/>
  <c r="J2040" i="1" s="1"/>
  <c r="L2036" i="1" a="1"/>
  <c r="L2036" i="1" s="1"/>
  <c r="K2025" i="1" a="1"/>
  <c r="K2025" i="1" s="1"/>
  <c r="J2026" i="1" a="1"/>
  <c r="J2026" i="1" s="1"/>
  <c r="L2025" i="1" a="1"/>
  <c r="L2025" i="1" s="1"/>
  <c r="L2026" i="1" a="1"/>
  <c r="L2026" i="1" s="1"/>
  <c r="L2034" i="1" a="1"/>
  <c r="L2034" i="1" s="1"/>
  <c r="J2025" i="1" a="1"/>
  <c r="J2025" i="1" s="1"/>
  <c r="J2032" i="1" a="1"/>
  <c r="J2032" i="1" s="1"/>
  <c r="J2031" i="1" s="1" a="1"/>
  <c r="J2031" i="1" s="1"/>
  <c r="K2029" i="1" a="1"/>
  <c r="K2029" i="1" s="1"/>
  <c r="K2028" i="1" s="1" a="1"/>
  <c r="K2028" i="1" s="1"/>
  <c r="L2029" i="1" a="1"/>
  <c r="L2029" i="1" s="1"/>
  <c r="L2028" i="1" s="1" a="1"/>
  <c r="L2028" i="1" s="1"/>
  <c r="K2026" i="1" a="1"/>
  <c r="K2026" i="1" s="1"/>
  <c r="K2034" i="1" a="1"/>
  <c r="K2034" i="1" s="1"/>
  <c r="J2029" i="1" a="1"/>
  <c r="J2029" i="1" s="1"/>
  <c r="J2028" i="1" s="1" a="1"/>
  <c r="J2028" i="1" s="1"/>
  <c r="J2034" i="1" a="1"/>
  <c r="J2034" i="1" s="1"/>
  <c r="K2032" i="1" a="1"/>
  <c r="K2032" i="1" s="1"/>
  <c r="K2031" i="1" s="1" a="1"/>
  <c r="K2031" i="1" s="1"/>
  <c r="L2032" i="1" a="1"/>
  <c r="L2032" i="1" s="1"/>
  <c r="L2031" i="1" s="1" a="1"/>
  <c r="L2031" i="1" s="1"/>
  <c r="L2023" i="1" a="1"/>
  <c r="L2023" i="1" s="1"/>
  <c r="K2023" i="1" a="1"/>
  <c r="K2023" i="1" s="1"/>
  <c r="J2023" i="1" a="1"/>
  <c r="J2023" i="1" s="1"/>
  <c r="J1709" i="1" a="1"/>
  <c r="J1709" i="1" s="1"/>
  <c r="K1709" i="1" a="1"/>
  <c r="K1709" i="1" s="1"/>
  <c r="L1709" i="1" a="1"/>
  <c r="L1709" i="1" s="1"/>
  <c r="L1708" i="1" a="1"/>
  <c r="L1708" i="1" s="1"/>
  <c r="K1708" i="1" a="1"/>
  <c r="K1708" i="1" s="1"/>
  <c r="J1708" i="1" a="1"/>
  <c r="J1708" i="1" s="1"/>
  <c r="L19" i="1"/>
  <c r="L18" i="1" s="1"/>
  <c r="K19" i="1"/>
  <c r="K18" i="1" s="1"/>
  <c r="J19" i="1"/>
  <c r="J18" i="1" s="1"/>
  <c r="K275" i="1" a="1"/>
  <c r="K275" i="1" s="1"/>
  <c r="K274" i="1" s="1"/>
  <c r="K284" i="1" a="1"/>
  <c r="K284" i="1" s="1"/>
  <c r="L275" i="1" a="1"/>
  <c r="L275" i="1" s="1"/>
  <c r="L274" i="1" s="1"/>
  <c r="L284" i="1" a="1"/>
  <c r="L284" i="1" s="1"/>
  <c r="J284" i="1" a="1"/>
  <c r="J284" i="1" s="1"/>
  <c r="J283" i="1" s="1"/>
  <c r="J242" i="1" a="1"/>
  <c r="J242" i="1" s="1"/>
  <c r="J241" i="1" s="1"/>
  <c r="L242" i="1" a="1"/>
  <c r="L242" i="1" s="1"/>
  <c r="J275" i="1" a="1"/>
  <c r="J275" i="1" s="1"/>
  <c r="J274" i="1" s="1"/>
  <c r="K242" i="1" a="1"/>
  <c r="K242" i="1" s="1"/>
  <c r="K199" i="1" a="1"/>
  <c r="K199" i="1" s="1"/>
  <c r="L199" i="1" a="1"/>
  <c r="L199" i="1" s="1"/>
  <c r="L198" i="1" s="1"/>
  <c r="J199" i="1" a="1"/>
  <c r="J199" i="1" s="1"/>
  <c r="J198" i="1" s="1"/>
  <c r="K62" i="1" a="1"/>
  <c r="K62" i="1" s="1"/>
  <c r="L61" i="1" a="1"/>
  <c r="L61" i="1" s="1"/>
  <c r="K60" i="1" a="1"/>
  <c r="K60" i="1" s="1"/>
  <c r="J60" i="1" a="1"/>
  <c r="J60" i="1" s="1"/>
  <c r="L60" i="1" a="1"/>
  <c r="L60" i="1" s="1"/>
  <c r="J62" i="1" a="1"/>
  <c r="J62" i="1" s="1"/>
  <c r="K55" i="1" a="1"/>
  <c r="K55" i="1" s="1"/>
  <c r="L54" i="1" a="1"/>
  <c r="L54" i="1" s="1"/>
  <c r="J54" i="1" a="1"/>
  <c r="J54" i="1" s="1"/>
  <c r="K54" i="1" a="1"/>
  <c r="K54" i="1" s="1"/>
  <c r="J55" i="1" a="1"/>
  <c r="J55" i="1" s="1"/>
  <c r="K59" i="1" a="1"/>
  <c r="K59" i="1" s="1"/>
  <c r="J59" i="1" a="1"/>
  <c r="J59" i="1" s="1"/>
  <c r="L55" i="1" a="1"/>
  <c r="L55" i="1" s="1"/>
  <c r="L53" i="1" a="1"/>
  <c r="L53" i="1" s="1"/>
  <c r="K53" i="1" a="1"/>
  <c r="K53" i="1" s="1"/>
  <c r="J53" i="1" a="1"/>
  <c r="J53" i="1" s="1"/>
  <c r="K52" i="1" a="1"/>
  <c r="K52" i="1" s="1"/>
  <c r="J52" i="1" a="1"/>
  <c r="J52" i="1" s="1"/>
  <c r="J13" i="1" a="1"/>
  <c r="J13" i="1" s="1"/>
  <c r="K15" i="1" a="1"/>
  <c r="K15" i="1" s="1"/>
  <c r="K14" i="1" a="1"/>
  <c r="K14" i="1" s="1"/>
  <c r="K13" i="1" a="1"/>
  <c r="K13" i="1" s="1"/>
  <c r="L15" i="1" a="1"/>
  <c r="L15" i="1" s="1"/>
  <c r="L14" i="1" a="1"/>
  <c r="L14" i="1" s="1"/>
  <c r="J14" i="1" a="1"/>
  <c r="J14" i="1" s="1"/>
  <c r="L13" i="1" a="1"/>
  <c r="L13" i="1" s="1"/>
  <c r="L59" i="1" a="1"/>
  <c r="L59" i="1" s="1"/>
  <c r="L52" i="1" a="1"/>
  <c r="L52" i="1" s="1"/>
  <c r="K61" i="1" a="1"/>
  <c r="K61" i="1" s="1"/>
  <c r="J61" i="1" a="1"/>
  <c r="J61" i="1" s="1"/>
  <c r="L62" i="1" a="1"/>
  <c r="L62" i="1" s="1"/>
  <c r="J15" i="1" a="1"/>
  <c r="J15" i="1" s="1"/>
  <c r="L56" i="1" a="1"/>
  <c r="L56" i="1" s="1"/>
  <c r="J56" i="1" a="1"/>
  <c r="J56" i="1" s="1"/>
  <c r="J44" i="1" a="1"/>
  <c r="J44" i="1" s="1"/>
  <c r="K50" i="1" a="1"/>
  <c r="K50" i="1" s="1"/>
  <c r="J45" i="1" a="1"/>
  <c r="J45" i="1" s="1"/>
  <c r="L44" i="1" a="1"/>
  <c r="L44" i="1" s="1"/>
  <c r="K45" i="1" a="1"/>
  <c r="K45" i="1" s="1"/>
  <c r="L43" i="1" a="1"/>
  <c r="L43" i="1" s="1"/>
  <c r="L45" i="1" a="1"/>
  <c r="L45" i="1" s="1"/>
  <c r="L50" i="1" a="1"/>
  <c r="L50" i="1" s="1"/>
  <c r="K44" i="1" a="1"/>
  <c r="K44" i="1" s="1"/>
  <c r="K43" i="1" a="1"/>
  <c r="K43" i="1" s="1"/>
  <c r="J50" i="1" a="1"/>
  <c r="J50" i="1" s="1"/>
  <c r="J43" i="1" a="1"/>
  <c r="J43" i="1" s="1"/>
  <c r="K26" i="1" a="1"/>
  <c r="K26" i="1" s="1"/>
  <c r="L26" i="1" a="1"/>
  <c r="L26" i="1" s="1"/>
  <c r="K27" i="1" a="1"/>
  <c r="K27" i="1" s="1"/>
  <c r="L27" i="1" a="1"/>
  <c r="L27" i="1" s="1"/>
  <c r="J28" i="1" a="1"/>
  <c r="J28" i="1" s="1"/>
  <c r="J27" i="1" a="1"/>
  <c r="J27" i="1" s="1"/>
  <c r="L21" i="1" a="1"/>
  <c r="L21" i="1" s="1"/>
  <c r="K21" i="1" a="1"/>
  <c r="K21" i="1" s="1"/>
  <c r="K25" i="1" a="1"/>
  <c r="K25" i="1" s="1"/>
  <c r="K17" i="1" a="1"/>
  <c r="K17" i="1" s="1"/>
  <c r="L25" i="1" a="1"/>
  <c r="L25" i="1" s="1"/>
  <c r="J25" i="1" a="1"/>
  <c r="J25" i="1" s="1"/>
  <c r="J21" i="1" a="1"/>
  <c r="J21" i="1" s="1"/>
  <c r="J24" i="1" a="1"/>
  <c r="J24" i="1" s="1"/>
  <c r="L24" i="1" a="1"/>
  <c r="L24" i="1" s="1"/>
  <c r="L17" i="1" a="1"/>
  <c r="L17" i="1" s="1"/>
  <c r="K24" i="1" a="1"/>
  <c r="K24" i="1" s="1"/>
  <c r="J26" i="1" a="1"/>
  <c r="J26" i="1" s="1"/>
  <c r="J11" i="1" a="1"/>
  <c r="J11" i="1"/>
  <c r="L9" i="1" a="1"/>
  <c r="L9" i="1" s="1"/>
  <c r="L11" i="1" a="1"/>
  <c r="L11" i="1" s="1"/>
  <c r="K16" i="1" a="1"/>
  <c r="K16" i="1" s="1"/>
  <c r="J17" i="1" a="1"/>
  <c r="J17" i="1" s="1"/>
  <c r="L16" i="1" a="1"/>
  <c r="L16" i="1" s="1"/>
  <c r="J16" i="1" a="1"/>
  <c r="J16" i="1" s="1"/>
  <c r="J10" i="1" a="1"/>
  <c r="J10" i="1" s="1"/>
  <c r="J7" i="1" a="1"/>
  <c r="J7" i="1" s="1"/>
  <c r="K9" i="1" a="1"/>
  <c r="K9" i="1" s="1"/>
  <c r="L7" i="1" a="1"/>
  <c r="L7" i="1" s="1"/>
  <c r="K11" i="1" a="1"/>
  <c r="K11" i="1" s="1"/>
  <c r="J9" i="1" a="1"/>
  <c r="J9" i="1" s="1"/>
  <c r="K7" i="1" a="1"/>
  <c r="K7" i="1" s="1"/>
  <c r="K10" i="1" a="1"/>
  <c r="K10" i="1" s="1"/>
  <c r="J6" i="1" a="1"/>
  <c r="J6" i="1" s="1"/>
  <c r="L5" i="1" a="1"/>
  <c r="L5" i="1" s="1"/>
  <c r="K5" i="1" a="1"/>
  <c r="K5" i="1" s="1"/>
  <c r="L4" i="1" a="1"/>
  <c r="L4" i="1" s="1"/>
  <c r="K4" i="1" a="1"/>
  <c r="K4" i="1" s="1"/>
  <c r="J4" i="1" a="1"/>
  <c r="J4" i="1" s="1"/>
  <c r="L6" i="1" a="1"/>
  <c r="L6" i="1" s="1"/>
  <c r="J5" i="1" a="1"/>
  <c r="J5" i="1" s="1"/>
  <c r="K6" i="1" a="1"/>
  <c r="K6" i="1" s="1"/>
  <c r="K56" i="1" a="1"/>
  <c r="K56" i="1" s="1"/>
  <c r="L28" i="1" a="1"/>
  <c r="L28" i="1" s="1"/>
  <c r="K28" i="1" a="1"/>
  <c r="K28" i="1" s="1"/>
  <c r="L10" i="1" a="1"/>
  <c r="L10" i="1" s="1"/>
  <c r="K363" i="1" l="1"/>
  <c r="K504" i="1" s="1"/>
  <c r="K319" i="1"/>
  <c r="L380" i="1"/>
  <c r="L437" i="1" s="1"/>
  <c r="J400" i="1"/>
  <c r="J520" i="1" s="1"/>
  <c r="J123" i="1"/>
  <c r="J319" i="1"/>
  <c r="L123" i="1"/>
  <c r="L319" i="1"/>
  <c r="K398" i="1"/>
  <c r="K439" i="1" s="1"/>
  <c r="K399" i="1"/>
  <c r="K519" i="1" s="1"/>
  <c r="J323" i="1"/>
  <c r="J478" i="1" s="1"/>
  <c r="K320" i="1"/>
  <c r="K475" i="1" s="1"/>
  <c r="K726" i="1" a="1"/>
  <c r="K726" i="1" s="1"/>
  <c r="K728" i="1" s="1" a="1"/>
  <c r="K728" i="1" s="1"/>
  <c r="L400" i="1"/>
  <c r="L520" i="1" s="1"/>
  <c r="L386" i="1"/>
  <c r="L517" i="1" s="1"/>
  <c r="K300" i="1"/>
  <c r="K413" i="1" s="1"/>
  <c r="L398" i="1"/>
  <c r="L439" i="1" s="1"/>
  <c r="K474" i="1"/>
  <c r="K384" i="1"/>
  <c r="K515" i="1" s="1"/>
  <c r="J363" i="1"/>
  <c r="J504" i="1" s="1"/>
  <c r="J325" i="1"/>
  <c r="J480" i="1" s="1"/>
  <c r="L399" i="1"/>
  <c r="L519" i="1" s="1"/>
  <c r="L314" i="1"/>
  <c r="L419" i="1" s="1"/>
  <c r="K400" i="1"/>
  <c r="K520" i="1" s="1"/>
  <c r="J301" i="1"/>
  <c r="J465" i="1" s="1"/>
  <c r="L315" i="1"/>
  <c r="L420" i="1" s="1"/>
  <c r="K325" i="1"/>
  <c r="K480" i="1" s="1"/>
  <c r="K323" i="1"/>
  <c r="K478" i="1" s="1"/>
  <c r="L384" i="1"/>
  <c r="L515" i="1" s="1"/>
  <c r="K318" i="1"/>
  <c r="K473" i="1" s="1"/>
  <c r="L323" i="1"/>
  <c r="L478" i="1" s="1"/>
  <c r="J742" i="1" a="1"/>
  <c r="J742" i="1" s="1"/>
  <c r="J744" i="1" s="1" a="1"/>
  <c r="J744" i="1" s="1"/>
  <c r="J324" i="1"/>
  <c r="J479" i="1" s="1"/>
  <c r="K385" i="1"/>
  <c r="K516" i="1" s="1"/>
  <c r="L325" i="1"/>
  <c r="L480" i="1" s="1"/>
  <c r="J320" i="1"/>
  <c r="J475" i="1" s="1"/>
  <c r="K386" i="1"/>
  <c r="K517" i="1" s="1"/>
  <c r="J129" i="1"/>
  <c r="L783" i="1"/>
  <c r="L786" i="1"/>
  <c r="L787" i="1" s="1"/>
  <c r="K783" i="1"/>
  <c r="K786" i="1"/>
  <c r="K787" i="1" s="1"/>
  <c r="K317" i="1"/>
  <c r="K472" i="1" s="1"/>
  <c r="J300" i="1"/>
  <c r="J413" i="1" s="1"/>
  <c r="L321" i="1"/>
  <c r="L476" i="1" s="1"/>
  <c r="K324" i="1"/>
  <c r="K479" i="1" s="1"/>
  <c r="J399" i="1"/>
  <c r="J519" i="1" s="1"/>
  <c r="K321" i="1"/>
  <c r="K476" i="1" s="1"/>
  <c r="L118" i="1"/>
  <c r="L300" i="1"/>
  <c r="L413" i="1" s="1"/>
  <c r="K123" i="1"/>
  <c r="K315" i="1"/>
  <c r="K420" i="1" s="1"/>
  <c r="J384" i="1"/>
  <c r="J515" i="1" s="1"/>
  <c r="L385" i="1"/>
  <c r="L516" i="1" s="1"/>
  <c r="J474" i="1"/>
  <c r="J380" i="1"/>
  <c r="J437" i="1" s="1"/>
  <c r="J124" i="1"/>
  <c r="L318" i="1"/>
  <c r="L473" i="1" s="1"/>
  <c r="L474" i="1"/>
  <c r="K301" i="1"/>
  <c r="K465" i="1" s="1"/>
  <c r="J386" i="1"/>
  <c r="J517" i="1" s="1"/>
  <c r="L301" i="1"/>
  <c r="L465" i="1" s="1"/>
  <c r="K364" i="1"/>
  <c r="J322" i="1"/>
  <c r="J477" i="1" s="1"/>
  <c r="J385" i="1"/>
  <c r="J516" i="1" s="1"/>
  <c r="K322" i="1"/>
  <c r="K477" i="1" s="1"/>
  <c r="J361" i="1"/>
  <c r="J428" i="1" s="1"/>
  <c r="J726" i="1" a="1"/>
  <c r="J726" i="1" s="1"/>
  <c r="J728" i="1" s="1" a="1"/>
  <c r="J728" i="1" s="1"/>
  <c r="L322" i="1"/>
  <c r="L477" i="1" s="1"/>
  <c r="J398" i="1"/>
  <c r="J439" i="1" s="1"/>
  <c r="J128" i="1"/>
  <c r="L726" i="1" a="1"/>
  <c r="L726" i="1" s="1"/>
  <c r="L728" i="1" s="1" a="1"/>
  <c r="L728" i="1" s="1"/>
  <c r="J315" i="1"/>
  <c r="J420" i="1" s="1"/>
  <c r="K380" i="1"/>
  <c r="K437" i="1" s="1"/>
  <c r="J321" i="1"/>
  <c r="J476" i="1" s="1"/>
  <c r="J318" i="1"/>
  <c r="J473" i="1" s="1"/>
  <c r="L317" i="1"/>
  <c r="L472" i="1" s="1"/>
  <c r="L241" i="1"/>
  <c r="L316" i="1" s="1"/>
  <c r="L471" i="1" s="1"/>
  <c r="K283" i="1"/>
  <c r="K382" i="1" s="1"/>
  <c r="K513" i="1" s="1"/>
  <c r="K383" i="1"/>
  <c r="K514" i="1" s="1"/>
  <c r="L383" i="1"/>
  <c r="L514" i="1" s="1"/>
  <c r="L283" i="1"/>
  <c r="L382" i="1" s="1"/>
  <c r="L513" i="1" s="1"/>
  <c r="L742" i="1" a="1"/>
  <c r="L742" i="1" s="1"/>
  <c r="L744" i="1" s="1" a="1"/>
  <c r="L744" i="1" s="1"/>
  <c r="J364" i="1"/>
  <c r="J118" i="1"/>
  <c r="J314" i="1"/>
  <c r="J419" i="1" s="1"/>
  <c r="L361" i="1"/>
  <c r="L428" i="1" s="1"/>
  <c r="J382" i="1"/>
  <c r="J513" i="1" s="1"/>
  <c r="K118" i="1"/>
  <c r="K314" i="1"/>
  <c r="K419" i="1" s="1"/>
  <c r="L364" i="1"/>
  <c r="K742" i="1" a="1"/>
  <c r="K742" i="1" s="1"/>
  <c r="K744" i="1" s="1" a="1"/>
  <c r="K744" i="1" s="1"/>
  <c r="J362" i="1"/>
  <c r="J429" i="1" s="1"/>
  <c r="K241" i="1"/>
  <c r="K316" i="1" s="1"/>
  <c r="K471" i="1" s="1"/>
  <c r="J317" i="1"/>
  <c r="J472" i="1" s="1"/>
  <c r="L324" i="1"/>
  <c r="L479" i="1" s="1"/>
  <c r="J316" i="1"/>
  <c r="J471" i="1" s="1"/>
  <c r="L363" i="1"/>
  <c r="L504" i="1" s="1"/>
  <c r="K362" i="1"/>
  <c r="K429" i="1" s="1"/>
  <c r="K198" i="1"/>
  <c r="K361" i="1" s="1"/>
  <c r="K428" i="1" s="1"/>
  <c r="L320" i="1"/>
  <c r="L475" i="1" s="1"/>
  <c r="J783" i="1"/>
  <c r="L125" i="1"/>
  <c r="L362" i="1"/>
  <c r="L429" i="1" s="1"/>
  <c r="J383" i="1"/>
  <c r="J514" i="1" s="1"/>
  <c r="L899" i="1"/>
  <c r="L902" i="1"/>
  <c r="J903" i="1"/>
  <c r="K903" i="1"/>
  <c r="K925" i="1"/>
  <c r="K924" i="1" s="1"/>
  <c r="L925" i="1"/>
  <c r="L924" i="1" s="1"/>
  <c r="K899" i="1"/>
  <c r="J899" i="1"/>
  <c r="J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296" i="1" l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14" i="1" l="1"/>
  <c r="L1011" i="1" s="1"/>
  <c r="L1555" i="1"/>
  <c r="L1160" i="1"/>
  <c r="L1602" i="1"/>
  <c r="L1004" i="1"/>
  <c r="L1511" i="1"/>
  <c r="L1652" i="1"/>
  <c r="L1556" i="1"/>
  <c r="L1161" i="1"/>
  <c r="L1603" i="1"/>
  <c r="L1653" i="1"/>
  <c r="L1512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330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344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310" i="1"/>
  <c r="L1562" i="1" l="1"/>
  <c r="L1414" i="1"/>
  <c r="L1658" i="1"/>
  <c r="L1659" i="1" s="1"/>
  <c r="L1617" i="1"/>
  <c r="L1428" i="1"/>
  <c r="L1571" i="1"/>
  <c r="L1618" i="1"/>
  <c r="L1429" i="1"/>
  <c r="L1345" i="1"/>
  <c r="L1207" i="1"/>
  <c r="L1609" i="1"/>
  <c r="L1570" i="1"/>
  <c r="L1183" i="1"/>
  <c r="L1415" i="1"/>
  <c r="L1331" i="1"/>
  <c r="L1184" i="1"/>
  <c r="L1563" i="1"/>
  <c r="L1561" i="1" s="1"/>
  <c r="L1560" i="1" s="1"/>
  <c r="L1610" i="1"/>
  <c r="L1206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1182" i="1" l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8" i="1" l="1" a="1"/>
  <c r="L738" i="1" s="1"/>
  <c r="L736" i="1" a="1"/>
  <c r="L736" i="1" s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G2233" i="1" s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I2233" i="1" l="1"/>
  <c r="F2233" i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H1653" i="1"/>
  <c r="F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H1571" i="1"/>
  <c r="F1618" i="1"/>
  <c r="G1618" i="1"/>
  <c r="H1618" i="1"/>
  <c r="G1571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G1563" i="1" l="1"/>
  <c r="I1556" i="1"/>
  <c r="H1610" i="1"/>
  <c r="H1563" i="1"/>
  <c r="H1603" i="1"/>
  <c r="F1556" i="1"/>
  <c r="G1556" i="1"/>
  <c r="F1563" i="1"/>
  <c r="I1610" i="1"/>
  <c r="F1603" i="1"/>
  <c r="G1603" i="1"/>
  <c r="I1563" i="1"/>
  <c r="F1610" i="1"/>
  <c r="I160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429" i="1" l="1"/>
  <c r="F1512" i="1"/>
  <c r="H1512" i="1"/>
  <c r="I1415" i="1"/>
  <c r="I1429" i="1"/>
  <c r="G1512" i="1"/>
  <c r="F1415" i="1"/>
  <c r="G1429" i="1"/>
  <c r="I1512" i="1"/>
  <c r="H1415" i="1"/>
  <c r="G1415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H1331" i="1"/>
  <c r="I1331" i="1"/>
  <c r="I1345" i="1"/>
  <c r="F1345" i="1"/>
  <c r="H1345" i="1"/>
  <c r="F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184" i="1" l="1"/>
  <c r="F1207" i="1"/>
  <c r="F1184" i="1"/>
  <c r="I1184" i="1"/>
  <c r="H1207" i="1"/>
  <c r="I1207" i="1"/>
  <c r="H1184" i="1"/>
  <c r="G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4" i="1" s="1"/>
  <c r="B1663" i="1"/>
  <c r="C1658" i="1"/>
  <c r="C1663" i="1"/>
  <c r="C1659" i="1"/>
  <c r="C1664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B1659" i="1" l="1"/>
  <c r="C1758" i="1"/>
  <c r="C1759" i="1" s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G443" i="1"/>
  <c r="F443" i="1"/>
  <c r="H443" i="1"/>
  <c r="I443" i="1"/>
  <c r="J443" i="1"/>
  <c r="K443" i="1"/>
  <c r="B1660" i="1" l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665" i="1"/>
  <c r="C1787" i="1"/>
  <c r="C1788" i="1" s="1"/>
  <c r="C1789" i="1" s="1"/>
  <c r="C1790" i="1" s="1"/>
  <c r="C1791" i="1" s="1"/>
  <c r="C1792" i="1" s="1"/>
  <c r="F892" i="1"/>
  <c r="G892" i="1"/>
  <c r="H892" i="1"/>
  <c r="I892" i="1"/>
  <c r="J892" i="1"/>
  <c r="K892" i="1"/>
  <c r="B1758" i="1" l="1"/>
  <c r="B1759" i="1" s="1"/>
  <c r="B1760" i="1" s="1"/>
  <c r="B1761" i="1" s="1"/>
  <c r="B1762" i="1" s="1"/>
  <c r="B1763" i="1" s="1"/>
  <c r="B1764" i="1" s="1"/>
  <c r="B1765" i="1" s="1"/>
  <c r="B1766" i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428" i="1"/>
  <c r="F1427" i="1" s="1"/>
  <c r="F1426" i="1" s="1"/>
  <c r="F1344" i="1"/>
  <c r="F1343" i="1" s="1"/>
  <c r="F1342" i="1" s="1"/>
  <c r="F1206" i="1"/>
  <c r="F1205" i="1" s="1"/>
  <c r="F1204" i="1" s="1"/>
  <c r="G1617" i="1"/>
  <c r="G1616" i="1" s="1"/>
  <c r="G1615" i="1" s="1"/>
  <c r="G1570" i="1"/>
  <c r="G1569" i="1" s="1"/>
  <c r="G1568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617" i="1" s="1"/>
  <c r="J49" i="1"/>
  <c r="J1617" i="1" s="1"/>
  <c r="J1428" i="1" l="1"/>
  <c r="J1206" i="1"/>
  <c r="J1344" i="1"/>
  <c r="K1344" i="1"/>
  <c r="K1570" i="1"/>
  <c r="K1618" i="1"/>
  <c r="K1571" i="1"/>
  <c r="K1345" i="1"/>
  <c r="K1429" i="1"/>
  <c r="K1207" i="1"/>
  <c r="K1206" i="1"/>
  <c r="K1428" i="1"/>
  <c r="J1618" i="1"/>
  <c r="J1429" i="1"/>
  <c r="J1345" i="1"/>
  <c r="J1571" i="1"/>
  <c r="J1207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602" i="1"/>
  <c r="H1555" i="1"/>
  <c r="H1511" i="1"/>
  <c r="H1160" i="1"/>
  <c r="G1652" i="1"/>
  <c r="G1602" i="1"/>
  <c r="G1555" i="1"/>
  <c r="G1511" i="1"/>
  <c r="G1510" i="1" s="1"/>
  <c r="G1509" i="1" s="1"/>
  <c r="G1160" i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I1159" i="1" s="1"/>
  <c r="I1158" i="1" s="1"/>
  <c r="H1658" i="1"/>
  <c r="H1659" i="1" s="1"/>
  <c r="H1609" i="1"/>
  <c r="H1562" i="1"/>
  <c r="H1414" i="1"/>
  <c r="H1413" i="1" s="1"/>
  <c r="H1412" i="1" s="1"/>
  <c r="H1330" i="1"/>
  <c r="H1329" i="1" s="1"/>
  <c r="H1328" i="1" s="1"/>
  <c r="H1183" i="1"/>
  <c r="H1182" i="1" s="1"/>
  <c r="H1181" i="1" s="1"/>
  <c r="F1658" i="1"/>
  <c r="F1659" i="1" s="1"/>
  <c r="F1562" i="1"/>
  <c r="F1609" i="1"/>
  <c r="F1414" i="1"/>
  <c r="F1330" i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609" i="1"/>
  <c r="I1608" i="1" s="1"/>
  <c r="I1607" i="1" s="1"/>
  <c r="I1562" i="1"/>
  <c r="I1414" i="1"/>
  <c r="I1330" i="1"/>
  <c r="I1183" i="1"/>
  <c r="H1651" i="1"/>
  <c r="H1601" i="1"/>
  <c r="H1600" i="1" s="1"/>
  <c r="H1554" i="1"/>
  <c r="H1553" i="1" s="1"/>
  <c r="H1510" i="1"/>
  <c r="H1509" i="1" s="1"/>
  <c r="H1159" i="1"/>
  <c r="H1158" i="1" s="1"/>
  <c r="H1561" i="1"/>
  <c r="H1560" i="1" s="1"/>
  <c r="H1608" i="1"/>
  <c r="H1607" i="1" s="1"/>
  <c r="I1561" i="1"/>
  <c r="I1560" i="1" s="1"/>
  <c r="F1561" i="1"/>
  <c r="F1560" i="1" s="1"/>
  <c r="F1413" i="1"/>
  <c r="F1412" i="1" s="1"/>
  <c r="F1329" i="1"/>
  <c r="F1328" i="1" s="1"/>
  <c r="F1608" i="1"/>
  <c r="F1607" i="1" s="1"/>
  <c r="G1159" i="1"/>
  <c r="G1158" i="1" s="1"/>
  <c r="G1651" i="1"/>
  <c r="G1554" i="1"/>
  <c r="G1553" i="1" s="1"/>
  <c r="G1601" i="1"/>
  <c r="G1600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555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09" i="1" s="1"/>
  <c r="J1414" i="1" l="1"/>
  <c r="J1562" i="1"/>
  <c r="J1658" i="1"/>
  <c r="J1659" i="1" s="1"/>
  <c r="K1658" i="1"/>
  <c r="K1659" i="1" s="1"/>
  <c r="K1414" i="1"/>
  <c r="K1160" i="1"/>
  <c r="J1609" i="1"/>
  <c r="K1330" i="1"/>
  <c r="K1562" i="1"/>
  <c r="K1511" i="1"/>
  <c r="K1555" i="1"/>
  <c r="K1183" i="1"/>
  <c r="K1602" i="1"/>
  <c r="J1160" i="1"/>
  <c r="J1511" i="1"/>
  <c r="J1603" i="1"/>
  <c r="J1556" i="1"/>
  <c r="J1653" i="1"/>
  <c r="J1512" i="1"/>
  <c r="J1161" i="1"/>
  <c r="K1184" i="1"/>
  <c r="K1610" i="1"/>
  <c r="K1563" i="1"/>
  <c r="K1331" i="1"/>
  <c r="K1415" i="1"/>
  <c r="J1602" i="1"/>
  <c r="J1184" i="1"/>
  <c r="J1331" i="1"/>
  <c r="J1563" i="1"/>
  <c r="J1610" i="1"/>
  <c r="J1415" i="1"/>
  <c r="K1512" i="1"/>
  <c r="K1161" i="1"/>
  <c r="K1556" i="1"/>
  <c r="K1603" i="1"/>
  <c r="K1653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<sst xmlns="http://schemas.openxmlformats.org/spreadsheetml/2006/main" count="5204" uniqueCount="2482">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</sst>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2035.xlsx" TargetMode="External"/><Relationship Id="rId2" Type="http://schemas.openxmlformats.org/officeDocument/2006/relationships/externalLinkPath" Target="file:///J:\WP07%20integrated%20modelling\STEM_Results\SPS1_CLI_BSM_2035.xlsx" TargetMode="External"/><Relationship Id="rId1" Type="http://schemas.openxmlformats.org/officeDocument/2006/relationships/externalLinkPath" Target="/WP07%20integrated%20modelling/STEM_Results/SPS1_CLI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NUC_High_2035.xlsx" TargetMode="External"/><Relationship Id="rId2" Type="http://schemas.openxmlformats.org/officeDocument/2006/relationships/externalLinkPath" Target="file:///J:\WP07%20integrated%20modelling\STEM_Results\SPS1_CLI_BSM_NUC_High_2035.xlsx" TargetMode="External"/><Relationship Id="rId1" Type="http://schemas.openxmlformats.org/officeDocument/2006/relationships/externalLinkPath" Target="/WP07%20integrated%20modelling/STEM_Results/SPS1_CLI_BSM_NUC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1.8343443922900742E-3</v>
          </cell>
          <cell r="H4">
            <v>1.4110891459143762E-3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5.1416524421522413E-4</v>
          </cell>
          <cell r="H5">
            <v>4.2842683471458405E-4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2.2435560328959453E-4</v>
          </cell>
          <cell r="H6">
            <v>1.5364966880277982E-4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2.2037951683495213E-4</v>
          </cell>
          <cell r="H7">
            <v>1.5964066690768962E-4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2.2918406347501019E-4</v>
          </cell>
          <cell r="H8">
            <v>1.587785764433349E-4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2.3137488026526461E-4</v>
          </cell>
          <cell r="H9">
            <v>1.8826346130220535E-4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2.5183421613736179E-4</v>
          </cell>
          <cell r="H10">
            <v>1.9618126941640981E-4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1.6305086807266625E-4</v>
          </cell>
          <cell r="H11">
            <v>1.2614866832737134E-4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5.9916874527356232E-3</v>
          </cell>
          <cell r="G12">
            <v>7.1360939109450117E-3</v>
          </cell>
          <cell r="H12">
            <v>7.3652938033634038E-3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5.9916874527356232E-3</v>
          </cell>
          <cell r="G13">
            <v>7.1360939109450117E-3</v>
          </cell>
          <cell r="H13">
            <v>7.3652938033634038E-3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7.6861817197010503E-4</v>
          </cell>
          <cell r="G14">
            <v>4.2033735783286402E-6</v>
          </cell>
          <cell r="H14">
            <v>0.20791443113612201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7.6861817197010503E-4</v>
          </cell>
          <cell r="G15">
            <v>7.6861817197010503E-4</v>
          </cell>
          <cell r="H15">
            <v>7.6861817197010503E-4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3.2682216544739244</v>
          </cell>
          <cell r="F16">
            <v>3.8319890888840518</v>
          </cell>
          <cell r="G16">
            <v>0.8735796292797503</v>
          </cell>
          <cell r="H16">
            <v>1.1546813633476471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3.2682216544739244</v>
          </cell>
          <cell r="F17">
            <v>3.8319890888840518</v>
          </cell>
          <cell r="G17">
            <v>0.8735796292797503</v>
          </cell>
          <cell r="H17">
            <v>1.1546813633476471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0.66997057947010752</v>
          </cell>
          <cell r="F18">
            <v>9.0842909446420594E-2</v>
          </cell>
          <cell r="G18">
            <v>0.541985599540868</v>
          </cell>
          <cell r="H18">
            <v>0.66939607373008947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2.0850430969910771</v>
          </cell>
          <cell r="F19">
            <v>0.26473331314291221</v>
          </cell>
          <cell r="G19">
            <v>1.4185161378825712</v>
          </cell>
          <cell r="H19">
            <v>1.4207092835648187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108.528885507334</v>
          </cell>
          <cell r="F20">
            <v>14.569174175933099</v>
          </cell>
          <cell r="G20">
            <v>86.1717405637647</v>
          </cell>
          <cell r="H20">
            <v>104.88270714741201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1.9242710196335757</v>
          </cell>
          <cell r="F21">
            <v>0.25831869106264349</v>
          </cell>
          <cell r="G21">
            <v>1.5278677404922807</v>
          </cell>
          <cell r="H21">
            <v>1.8596224671526917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6.99946625057882E-7</v>
          </cell>
          <cell r="G22">
            <v>1.01580203922671E-4</v>
          </cell>
          <cell r="H22">
            <v>2.28559918953378E-2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2.9211495747356306E-2</v>
          </cell>
          <cell r="F23">
            <v>2.1605797541832561E-2</v>
          </cell>
          <cell r="G23">
            <v>2.1706828958819431E-2</v>
          </cell>
          <cell r="H23">
            <v>2.9515770819091295E-2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6.7990993073526251</v>
          </cell>
          <cell r="F24">
            <v>6.0110595382900308E-4</v>
          </cell>
          <cell r="G24">
            <v>5.1757035946093267E-4</v>
          </cell>
          <cell r="H24">
            <v>2.1600883862323052E-4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6.7990993073526251</v>
          </cell>
          <cell r="F25">
            <v>6.0110595382900308E-4</v>
          </cell>
          <cell r="G25">
            <v>5.1757035946093267E-4</v>
          </cell>
          <cell r="H25">
            <v>2.1600883862323052E-4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1.3324421151219299E-6</v>
          </cell>
          <cell r="F26">
            <v>1.09826351572382E-6</v>
          </cell>
          <cell r="G26">
            <v>1.28336638933054E-6</v>
          </cell>
          <cell r="H26">
            <v>1.33042664851052E-6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1.4625330596146842</v>
          </cell>
          <cell r="F27">
            <v>6.3091122681990797E-4</v>
          </cell>
          <cell r="G27">
            <v>6.1138079140010682E-4</v>
          </cell>
          <cell r="H27">
            <v>5.7396919045205053E-4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1.6365712181493272E-3</v>
          </cell>
          <cell r="F28">
            <v>1.6333098845971146E-3</v>
          </cell>
          <cell r="G28">
            <v>0.10205967324869944</v>
          </cell>
          <cell r="H28">
            <v>0.32057040488871597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1.6365712181493251E-3</v>
          </cell>
          <cell r="F29">
            <v>1.6333098845971138E-3</v>
          </cell>
          <cell r="G29">
            <v>0.10205967324869938</v>
          </cell>
          <cell r="H29">
            <v>0.32057040488871552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1.8145336899649111E-3</v>
          </cell>
          <cell r="F30">
            <v>1.8106724295000329E-3</v>
          </cell>
          <cell r="G30">
            <v>0.11286478091353963</v>
          </cell>
          <cell r="H30">
            <v>0.35450781818066895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1.8145336899649111E-3</v>
          </cell>
          <cell r="F31">
            <v>1.8106724295000329E-3</v>
          </cell>
          <cell r="G31">
            <v>0.11286478091353963</v>
          </cell>
          <cell r="H31">
            <v>0.35450781818066895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6.6785231097926103E-4</v>
          </cell>
          <cell r="F32">
            <v>1.1113825762662701E-6</v>
          </cell>
          <cell r="G32">
            <v>0.12343086588982299</v>
          </cell>
          <cell r="H32">
            <v>8.4190912803750406E-2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6.701788674851601E-4</v>
          </cell>
          <cell r="F33">
            <v>6.7095498379959634E-4</v>
          </cell>
          <cell r="G33">
            <v>0.12410130236442038</v>
          </cell>
          <cell r="H33">
            <v>0.2081105907296982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2.0590350436279534E-5</v>
          </cell>
          <cell r="F34">
            <v>1.410578644741913E-4</v>
          </cell>
          <cell r="G34">
            <v>0.22617912301887791</v>
          </cell>
          <cell r="H34">
            <v>4.4228786130217906E-5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2.059035043627948E-5</v>
          </cell>
          <cell r="F35">
            <v>1.4094266229811096E-4</v>
          </cell>
          <cell r="G35">
            <v>0.225890629239517</v>
          </cell>
          <cell r="H35">
            <v>4.4228786130217974E-5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2.400802782880644E-5</v>
          </cell>
          <cell r="F36">
            <v>1.7196129134958933E-4</v>
          </cell>
          <cell r="G36">
            <v>0.26925211461591925</v>
          </cell>
          <cell r="H36">
            <v>4.4228786130217906E-5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2.400802782880644E-5</v>
          </cell>
          <cell r="F37">
            <v>1.7196129134958933E-4</v>
          </cell>
          <cell r="G37">
            <v>0.26925211461591925</v>
          </cell>
          <cell r="H37">
            <v>4.4228786130217906E-5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6.8851919974433004E-3</v>
          </cell>
          <cell r="F38">
            <v>1.3005194014478901E-4</v>
          </cell>
          <cell r="G38">
            <v>7.2324191357283204E-3</v>
          </cell>
          <cell r="H38">
            <v>1.3576006890243999E-5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6.8851919974433004E-3</v>
          </cell>
          <cell r="F39">
            <v>7.0114610774413598E-3</v>
          </cell>
          <cell r="G39">
            <v>1.4231788247379343E-2</v>
          </cell>
          <cell r="H39">
            <v>2.9699340000544014E-3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1.0210670281549745E-3</v>
          </cell>
          <cell r="H40">
            <v>7.8999229508101539E-4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2.8748270686928309E-4</v>
          </cell>
          <cell r="H41">
            <v>2.5240900356296572E-4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1.1633569270838701E-4</v>
          </cell>
          <cell r="H42">
            <v>7.354801703521255E-5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1.1527420777482901E-4</v>
          </cell>
          <cell r="H43">
            <v>7.5586895091205668E-5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1.1815198747586302E-4</v>
          </cell>
          <cell r="H44">
            <v>7.5592079117792373E-5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1.4166643047694352E-4</v>
          </cell>
          <cell r="H45">
            <v>1.2111022859408366E-4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1.4947258622873151E-4</v>
          </cell>
          <cell r="H46">
            <v>1.2600004418520665E-4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9.2683416620936853E-5</v>
          </cell>
          <cell r="H47">
            <v>6.5746027494548525E-5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8.97032038599794E-7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8.97032038599794E-7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1.5900734157252786E-3</v>
          </cell>
          <cell r="F52">
            <v>1.5868089862718822E-3</v>
          </cell>
          <cell r="G52">
            <v>7.8341000389008916E-2</v>
          </cell>
          <cell r="H52">
            <v>0.18008369113995595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1.5900734157252778E-3</v>
          </cell>
          <cell r="F53">
            <v>1.5868089862718807E-3</v>
          </cell>
          <cell r="G53">
            <v>7.8341000389008875E-2</v>
          </cell>
          <cell r="H53">
            <v>0.18008369113995573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1.7631134071559951E-3</v>
          </cell>
          <cell r="F54">
            <v>1.7592560780321244E-3</v>
          </cell>
          <cell r="G54">
            <v>8.6635137138505874E-2</v>
          </cell>
          <cell r="H54">
            <v>0.1991485070893306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1.7631134071559951E-3</v>
          </cell>
          <cell r="F55">
            <v>1.7592560780321244E-3</v>
          </cell>
          <cell r="G55">
            <v>8.6635137138505874E-2</v>
          </cell>
          <cell r="H55">
            <v>0.1991485070893306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6.4867603736376101E-4</v>
          </cell>
          <cell r="F56">
            <v>1.0598182475617601E-6</v>
          </cell>
          <cell r="G56">
            <v>6.8856369171422002E-2</v>
          </cell>
          <cell r="H56">
            <v>4.3885047630975602E-2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6.507453594336495E-4</v>
          </cell>
          <cell r="F57">
            <v>6.5147022114194375E-4</v>
          </cell>
          <cell r="G57">
            <v>6.9507253372042083E-2</v>
          </cell>
          <cell r="H57">
            <v>0.11321610574650248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5.4460658560359837E-2</v>
          </cell>
          <cell r="G65">
            <v>3.2547254699714862E-3</v>
          </cell>
          <cell r="H65">
            <v>0.12518967775989948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3.4297371324434716</v>
          </cell>
          <cell r="F66">
            <v>3.8269983058617147</v>
          </cell>
          <cell r="G66">
            <v>4.9765061240458124</v>
          </cell>
          <cell r="H66">
            <v>5.8631369223151619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3.1790502113505692</v>
          </cell>
          <cell r="F67">
            <v>3.5391891456613722</v>
          </cell>
          <cell r="G67">
            <v>1.6083381036864932</v>
          </cell>
          <cell r="H67">
            <v>2.0356266854734297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1.7312181733751972</v>
          </cell>
          <cell r="F68">
            <v>1.8664289581092606</v>
          </cell>
          <cell r="G68">
            <v>1.6200575616161415</v>
          </cell>
          <cell r="H68">
            <v>2.4766483558677019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0.35009086418884044</v>
          </cell>
          <cell r="G69">
            <v>5.8925009638907032E-2</v>
          </cell>
          <cell r="H69">
            <v>0.22557087135310827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9.2187341478344305</v>
          </cell>
          <cell r="F70">
            <v>10.652534418099579</v>
          </cell>
          <cell r="G70">
            <v>9.1177850953756305</v>
          </cell>
          <cell r="H70">
            <v>11.786280923286311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0.62768379795955298</v>
          </cell>
          <cell r="F71">
            <v>3.3142467906312599E-6</v>
          </cell>
          <cell r="G71">
            <v>1.0088589892834499E-7</v>
          </cell>
          <cell r="H71">
            <v>1.18698070800902E-7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0.62768379795955298</v>
          </cell>
          <cell r="F72">
            <v>0.62768711220634399</v>
          </cell>
          <cell r="G72">
            <v>0.62768721309224296</v>
          </cell>
          <cell r="H72">
            <v>0.627687331790314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1.0243903402984629E-2</v>
          </cell>
          <cell r="F73">
            <v>2.608522279761326E-4</v>
          </cell>
          <cell r="G73">
            <v>1.0228602078981361E-2</v>
          </cell>
          <cell r="H73">
            <v>9.7418673750489612E-5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1.0243903402984656E-2</v>
          </cell>
          <cell r="F74">
            <v>2.6067844234790096E-4</v>
          </cell>
          <cell r="G74">
            <v>1.0217958372343511E-2</v>
          </cell>
          <cell r="H74">
            <v>9.7418673750489612E-5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1.3665951699715254E-2</v>
          </cell>
          <cell r="F75">
            <v>3.4207923738249378E-4</v>
          </cell>
          <cell r="G75">
            <v>1.3197137112506176E-2</v>
          </cell>
          <cell r="H75">
            <v>7.6585464992452813E-5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1.3665951699715254E-2</v>
          </cell>
          <cell r="F76">
            <v>3.4207923738249378E-4</v>
          </cell>
          <cell r="G76">
            <v>1.3197137112506176E-2</v>
          </cell>
          <cell r="H76">
            <v>7.6585464992452813E-5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2.49321780888999E-3</v>
          </cell>
          <cell r="F77">
            <v>3.3594891928125403E-5</v>
          </cell>
          <cell r="G77">
            <v>2.61899951795933E-5</v>
          </cell>
          <cell r="H77">
            <v>1.6186039090973599E-5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2.49321780888999E-3</v>
          </cell>
          <cell r="F78">
            <v>2.5223371915551194E-3</v>
          </cell>
          <cell r="G78">
            <v>2.5332035009526122E-3</v>
          </cell>
          <cell r="H78">
            <v>2.4330138767652693E-3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4.5758077783627498E-6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4.5758077783627498E-6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3.5600063653327489</v>
          </cell>
          <cell r="F81">
            <v>3.4647179462125965</v>
          </cell>
          <cell r="G81">
            <v>2.9051390792505381E-2</v>
          </cell>
          <cell r="H81">
            <v>5.8653485837291939E-4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330.01259006634598</v>
          </cell>
          <cell r="F82">
            <v>321.17935361390801</v>
          </cell>
          <cell r="G82">
            <v>2.6930639264652498</v>
          </cell>
          <cell r="H82">
            <v>5.4371781371169603E-2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3.5600063653327489</v>
          </cell>
          <cell r="F83">
            <v>3.4647179462125965</v>
          </cell>
          <cell r="G83">
            <v>2.9051390792505381E-2</v>
          </cell>
          <cell r="H83">
            <v>5.8653485837291939E-4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2.094721595149534E-4</v>
          </cell>
          <cell r="F84">
            <v>1.0805176315344521E-4</v>
          </cell>
          <cell r="G84">
            <v>4.2658848255951466E-5</v>
          </cell>
          <cell r="H84">
            <v>9.7505039990538911E-5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2.0947215951495383E-4</v>
          </cell>
          <cell r="F85">
            <v>1.0797977663568831E-4</v>
          </cell>
          <cell r="G85">
            <v>4.2614458195331397E-5</v>
          </cell>
          <cell r="H85">
            <v>9.7505039990538911E-5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1.6632357889373786E-4</v>
          </cell>
          <cell r="F86">
            <v>8.2182983987165721E-5</v>
          </cell>
          <cell r="G86">
            <v>3.4305452778379227E-5</v>
          </cell>
          <cell r="H86">
            <v>7.6563129469834476E-5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1.6632357889373786E-4</v>
          </cell>
          <cell r="F87">
            <v>8.2182983987165721E-5</v>
          </cell>
          <cell r="G87">
            <v>3.4305452778379227E-5</v>
          </cell>
          <cell r="H87">
            <v>7.6563129469834476E-5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2.3184998525086599E-3</v>
          </cell>
          <cell r="F88">
            <v>5.5225959783427702E-5</v>
          </cell>
          <cell r="G88">
            <v>5.2612690515302602E-5</v>
          </cell>
          <cell r="H88">
            <v>3.6095548090939E-5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2.3184998525086599E-3</v>
          </cell>
          <cell r="F89">
            <v>2.3665585265894417E-3</v>
          </cell>
          <cell r="G89">
            <v>2.3946723154912976E-3</v>
          </cell>
          <cell r="H89">
            <v>2.3774817392349427E-3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311.418817252628</v>
          </cell>
          <cell r="F98">
            <v>14.6062779781711</v>
          </cell>
          <cell r="G98">
            <v>0.88685219950920902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5.7132550663994524</v>
          </cell>
          <cell r="F99">
            <v>0.25826956983534555</v>
          </cell>
          <cell r="G99">
            <v>1.8145335081572969E-2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5.5216102349756664</v>
          </cell>
          <cell r="F101">
            <v>0.25897655989665064</v>
          </cell>
          <cell r="G101">
            <v>1.5724329778532078E-2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0.20989650797049986</v>
          </cell>
          <cell r="F102">
            <v>1.4165881403352856E-4</v>
          </cell>
          <cell r="G102">
            <v>2.4841566765537696E-3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2.73217034086742E-6</v>
          </cell>
          <cell r="F104">
            <v>3.5175852774712501E-7</v>
          </cell>
          <cell r="G104">
            <v>3.9496672032385702E-7</v>
          </cell>
          <cell r="H104">
            <v>4.9013727177940199E-7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1.0275147267113209</v>
          </cell>
          <cell r="F105">
            <v>1.0275150784698488</v>
          </cell>
          <cell r="G105">
            <v>1.027515473436569</v>
          </cell>
          <cell r="H105">
            <v>1.0275159635738409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689.47333229352</v>
          </cell>
          <cell r="F106">
            <v>659.57574993944195</v>
          </cell>
          <cell r="G106">
            <v>660.41030239306599</v>
          </cell>
          <cell r="H106">
            <v>437.36426810778102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9.1988917793101805</v>
          </cell>
          <cell r="F107">
            <v>8.8000008988996115</v>
          </cell>
          <cell r="G107">
            <v>8.8111965160139842</v>
          </cell>
          <cell r="H107">
            <v>7.1023341215044216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9.3551334096814145</v>
          </cell>
          <cell r="F108">
            <v>8.9494674347278504</v>
          </cell>
          <cell r="G108">
            <v>8.9607910772464852</v>
          </cell>
          <cell r="H108">
            <v>5.9343862701191412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6.4625858910560241E-5</v>
          </cell>
          <cell r="H109">
            <v>1.2885798024078323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1.7329074025118092</v>
          </cell>
          <cell r="F110">
            <v>0.2095831136311927</v>
          </cell>
          <cell r="G110">
            <v>8.7142257099942326E-4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114.383994746017</v>
          </cell>
          <cell r="F111">
            <v>13.8339496580695</v>
          </cell>
          <cell r="G111">
            <v>5.7519977488860501E-2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2.028085013227257</v>
          </cell>
          <cell r="F112">
            <v>0.24528279535584216</v>
          </cell>
          <cell r="G112">
            <v>1.0198577568946892E-3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3.9098729801530397E-6</v>
          </cell>
          <cell r="F113">
            <v>2.36073772384073E-6</v>
          </cell>
          <cell r="G113">
            <v>2.4021555613593098E-6</v>
          </cell>
          <cell r="H113">
            <v>1.8668933525418799E-6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0.22025003647938812</v>
          </cell>
          <cell r="F114">
            <v>2.7044588936339986E-2</v>
          </cell>
          <cell r="G114">
            <v>3.388551175040333E-3</v>
          </cell>
          <cell r="H114">
            <v>1.8595765716888923E-5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15.013808092334221</v>
          </cell>
          <cell r="F115">
            <v>6.3280933042308334</v>
          </cell>
          <cell r="G115">
            <v>3.2554288802233962</v>
          </cell>
          <cell r="H115">
            <v>6.5749511855897653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15.013808092334221</v>
          </cell>
          <cell r="F116">
            <v>6.3280933042308334</v>
          </cell>
          <cell r="G116">
            <v>3.2554288802233962</v>
          </cell>
          <cell r="H116">
            <v>6.5749511855897653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1.54598337406472E-6</v>
          </cell>
          <cell r="F117">
            <v>1.3232736629853601E-6</v>
          </cell>
          <cell r="G117">
            <v>1.78307749114255E-6</v>
          </cell>
          <cell r="H117">
            <v>3.1639383006913698E-6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0.92892518109371491</v>
          </cell>
          <cell r="F118">
            <v>0.92890636268161797</v>
          </cell>
          <cell r="G118">
            <v>0.9289033018183559</v>
          </cell>
          <cell r="H118">
            <v>0.92890375983784079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1.4349604804940279</v>
          </cell>
          <cell r="F119">
            <v>1.2995354982568876</v>
          </cell>
          <cell r="G119">
            <v>1.2055790477405786</v>
          </cell>
          <cell r="H119">
            <v>1.2912527240908274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14.461264109755597</v>
          </cell>
          <cell r="F120">
            <v>13.051649081885905</v>
          </cell>
          <cell r="G120">
            <v>12.04563506630919</v>
          </cell>
          <cell r="H120">
            <v>12.790296143026849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2843.25633304751</v>
          </cell>
          <cell r="F121">
            <v>2574.9228537407998</v>
          </cell>
          <cell r="G121">
            <v>2388.7558640623201</v>
          </cell>
          <cell r="H121">
            <v>2558.51121702817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30.638538071632688</v>
          </cell>
          <cell r="F122">
            <v>27.747013510137904</v>
          </cell>
          <cell r="G122">
            <v>25.740903707568084</v>
          </cell>
          <cell r="H122">
            <v>27.570163976596628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1.9850769186164999E-7</v>
          </cell>
          <cell r="G123">
            <v>1.7982506723081001E-7</v>
          </cell>
          <cell r="H123">
            <v>8.3431704218900205E-7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7.8399999999999997E-2</v>
          </cell>
          <cell r="F124">
            <v>7.1001458538390086E-2</v>
          </cell>
          <cell r="G124">
            <v>7.0548781405743152E-2</v>
          </cell>
          <cell r="H124">
            <v>7.054861861871442E-2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4.5322342032207903</v>
          </cell>
          <cell r="F125">
            <v>0.52178691820229395</v>
          </cell>
          <cell r="G125">
            <v>1.6605496247079901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1.6198200594599303E-2</v>
          </cell>
          <cell r="F126">
            <v>2.3358466250198028E-3</v>
          </cell>
          <cell r="G126">
            <v>7.2187117697069449E-3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3.8995668098109476E-2</v>
          </cell>
          <cell r="F127">
            <v>5.56648317412127E-3</v>
          </cell>
          <cell r="G127">
            <v>1.6939146401402316E-2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8.0358762468453804E-2</v>
          </cell>
          <cell r="F128">
            <v>9.2515411028775592E-3</v>
          </cell>
          <cell r="G128">
            <v>2.9442369232411111E-2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8.4574927725003495E-6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4.1388459939899602E-3</v>
          </cell>
          <cell r="F130">
            <v>7.0483046341517043E-4</v>
          </cell>
          <cell r="G130">
            <v>6.9586686865609753E-4</v>
          </cell>
          <cell r="H130">
            <v>6.3751992649437831E-4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6.7784591724818102E-6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6.7784591724818102E-6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28.948623268472957</v>
          </cell>
          <cell r="F133">
            <v>18.878911720049846</v>
          </cell>
          <cell r="G133">
            <v>25.448015441977613</v>
          </cell>
          <cell r="H133">
            <v>14.770930443495541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28.948623268472957</v>
          </cell>
          <cell r="F134">
            <v>18.878911720049846</v>
          </cell>
          <cell r="G134">
            <v>25.448015441977613</v>
          </cell>
          <cell r="H134">
            <v>14.770930443495541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1.82420988994539E-6</v>
          </cell>
          <cell r="F135">
            <v>1.57881180041081E-6</v>
          </cell>
          <cell r="G135">
            <v>1.70094258589176E-6</v>
          </cell>
          <cell r="H135">
            <v>1.5431665433317099E-6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1.6999968774123935</v>
          </cell>
          <cell r="F136">
            <v>1.6999942676453099</v>
          </cell>
          <cell r="G136">
            <v>1.6999933601154087</v>
          </cell>
          <cell r="H136">
            <v>1.6999940786909447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2.4055697877700725E-3</v>
          </cell>
          <cell r="G145">
            <v>1.3402033826822981E-2</v>
          </cell>
          <cell r="H145">
            <v>2.4632427862414388E-2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2.4055697877700725E-3</v>
          </cell>
          <cell r="G146">
            <v>1.3402033826822981E-2</v>
          </cell>
          <cell r="H146">
            <v>2.4632427862414388E-2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2.17066594969466E-4</v>
          </cell>
          <cell r="G147">
            <v>9.88311410654928E-4</v>
          </cell>
          <cell r="H147">
            <v>9.6629707216600599E-4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2.17066594969466E-4</v>
          </cell>
          <cell r="G148">
            <v>1.2053780056243901E-3</v>
          </cell>
          <cell r="H148">
            <v>2.1716750777904001E-3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0.1125882739265512</v>
          </cell>
          <cell r="F149">
            <v>0.11778766297800411</v>
          </cell>
          <cell r="G149">
            <v>0.11600061237418552</v>
          </cell>
          <cell r="H149">
            <v>0.13842271121305322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5.6294136963275641</v>
          </cell>
          <cell r="F150">
            <v>5.8893831489002038</v>
          </cell>
          <cell r="G150">
            <v>5.8000306187092692</v>
          </cell>
          <cell r="H150">
            <v>6.921135560652659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9.6793747498569367</v>
          </cell>
          <cell r="F151">
            <v>10.126373654308987</v>
          </cell>
          <cell r="G151">
            <v>9.9727383609692488</v>
          </cell>
          <cell r="H151">
            <v>11.900398229716481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4.0986206701093897E-3</v>
          </cell>
          <cell r="F152">
            <v>9.81989305833832E-3</v>
          </cell>
          <cell r="G152">
            <v>1.0178057172175201E-6</v>
          </cell>
          <cell r="H152">
            <v>0.11256342103113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0.21266870170259214</v>
          </cell>
          <cell r="F153">
            <v>0.22248807978175195</v>
          </cell>
          <cell r="G153">
            <v>0.22248564500559193</v>
          </cell>
          <cell r="H153">
            <v>0.26146531726100281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3.2944552183122862</v>
          </cell>
          <cell r="G162">
            <v>9.9665722798809995</v>
          </cell>
          <cell r="H162">
            <v>17.902342268287857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3.2944552183122862</v>
          </cell>
          <cell r="G163">
            <v>9.9665722798809995</v>
          </cell>
          <cell r="H163">
            <v>17.902342268287857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3.2944552183122799</v>
          </cell>
          <cell r="G164">
            <v>9.9665722798809995</v>
          </cell>
          <cell r="H164">
            <v>17.9023422682878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6.1563596342027905E-8</v>
          </cell>
          <cell r="G165">
            <v>2.0047054740157</v>
          </cell>
          <cell r="H165">
            <v>2.0653589108960801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1.1231013231316065</v>
          </cell>
          <cell r="G166">
            <v>3.1799345355793003</v>
          </cell>
          <cell r="H166">
            <v>5.1607236247160593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5.61000253788953</v>
          </cell>
          <cell r="F167">
            <v>6.076703590480701</v>
          </cell>
          <cell r="G167">
            <v>6.002955333082598</v>
          </cell>
          <cell r="H167">
            <v>7.5711791153067747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6.0987784927053097</v>
          </cell>
          <cell r="F168">
            <v>6.6044050737227709</v>
          </cell>
          <cell r="G168">
            <v>6.5216815459270485</v>
          </cell>
          <cell r="H168">
            <v>8.2200197045645407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0.849700293021034</v>
          </cell>
          <cell r="F169">
            <v>6.2437614705765E-8</v>
          </cell>
          <cell r="G169">
            <v>7.1403082728818806E-8</v>
          </cell>
          <cell r="H169">
            <v>8.2258285606044301E-8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0.849700293021034</v>
          </cell>
          <cell r="F170">
            <v>0.84970035545864797</v>
          </cell>
          <cell r="G170">
            <v>0.84970042686173097</v>
          </cell>
          <cell r="H170">
            <v>0.84970050912001704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8.5264076100690798E-4</v>
          </cell>
          <cell r="G171">
            <v>8.2373943156357869E-3</v>
          </cell>
          <cell r="H171">
            <v>1.4439715023085142E-2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8.5264076100690798E-4</v>
          </cell>
          <cell r="G172">
            <v>8.2373943156357869E-3</v>
          </cell>
          <cell r="H172">
            <v>1.4439715023085142E-2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7.1907468891638707E-5</v>
          </cell>
          <cell r="G173">
            <v>4.8120522484303998E-4</v>
          </cell>
          <cell r="H173">
            <v>3.68201417233464E-4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7.1907468891638707E-5</v>
          </cell>
          <cell r="G174">
            <v>5.53112693734679E-4</v>
          </cell>
          <cell r="H174">
            <v>9.2131411096814299E-4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2.5263631097475182E-3</v>
          </cell>
          <cell r="G175">
            <v>5.6557146229675719E-2</v>
          </cell>
          <cell r="H175">
            <v>5.8677302856726905E-2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2.5263631097475182E-3</v>
          </cell>
          <cell r="G176">
            <v>5.6557146229675719E-2</v>
          </cell>
          <cell r="H176">
            <v>5.8677302856726905E-2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2.1805316416891201E-4</v>
          </cell>
          <cell r="G177">
            <v>4.8027929729853704E-3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2.1805316416891201E-4</v>
          </cell>
          <cell r="G178">
            <v>5.0208461371542799E-3</v>
          </cell>
          <cell r="H178">
            <v>5.0208461371542799E-3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0.66028478774414656</v>
          </cell>
          <cell r="F179">
            <v>1.8166837899180892</v>
          </cell>
          <cell r="G179">
            <v>3.4401961928413129</v>
          </cell>
          <cell r="H179">
            <v>3.8721735214540298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0.17264928018583237</v>
          </cell>
          <cell r="F180">
            <v>0.52164290988495643</v>
          </cell>
          <cell r="G180">
            <v>1.1583517056424442</v>
          </cell>
          <cell r="H180">
            <v>1.8304820283237186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0.87404426692741732</v>
          </cell>
          <cell r="F181">
            <v>2.3100620572554043</v>
          </cell>
          <cell r="G181">
            <v>4.3222216934843303</v>
          </cell>
          <cell r="H181">
            <v>5.4076018204369793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1.7612367973031701E-2</v>
          </cell>
          <cell r="G182">
            <v>2.3540051802422302E-2</v>
          </cell>
          <cell r="H182">
            <v>2.48520199682945E-2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6.3916909235043496E-3</v>
          </cell>
          <cell r="F183">
            <v>1.9291133128046423E-2</v>
          </cell>
          <cell r="G183">
            <v>4.2830963067901087E-2</v>
          </cell>
          <cell r="H183">
            <v>6.7682445836469693E-2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1.173448553787066E-3</v>
          </cell>
          <cell r="G184">
            <v>1.2007524534043538E-3</v>
          </cell>
          <cell r="H184">
            <v>3.2483947285355828E-2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1.173448553787066E-3</v>
          </cell>
          <cell r="G185">
            <v>1.2007524534043538E-3</v>
          </cell>
          <cell r="H185">
            <v>3.2483947285355828E-2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1.00855416692941E-4</v>
          </cell>
          <cell r="G186">
            <v>3.17199104548816E-3</v>
          </cell>
          <cell r="H186">
            <v>4.7268651498379397E-7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1.00855416692941E-4</v>
          </cell>
          <cell r="G187">
            <v>1.00855416692941E-4</v>
          </cell>
          <cell r="H187">
            <v>2.3100821124329399E-3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1.3726175005831213E-4</v>
          </cell>
          <cell r="F188">
            <v>8.3508896888649978E-5</v>
          </cell>
          <cell r="G188">
            <v>8.5298373250544264E-5</v>
          </cell>
          <cell r="H188">
            <v>4.4228786129900872E-5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1.3726175005831235E-4</v>
          </cell>
          <cell r="F189">
            <v>8.3577154479976652E-5</v>
          </cell>
          <cell r="G189">
            <v>8.5407311147415982E-5</v>
          </cell>
          <cell r="H189">
            <v>4.4228786129900811E-5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1.3726175005831235E-4</v>
          </cell>
          <cell r="F190">
            <v>8.3577154479976652E-5</v>
          </cell>
          <cell r="G190">
            <v>8.5407311147415982E-5</v>
          </cell>
          <cell r="H190">
            <v>4.4228786129900811E-5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1.3726175005831235E-4</v>
          </cell>
          <cell r="F191">
            <v>8.3577154479976652E-5</v>
          </cell>
          <cell r="G191">
            <v>8.5407311147415982E-5</v>
          </cell>
          <cell r="H191">
            <v>4.4228786129900811E-5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1.2840106269621601E-3</v>
          </cell>
          <cell r="F192">
            <v>3.7348630047475199E-5</v>
          </cell>
          <cell r="G192">
            <v>3.3645011595207901E-5</v>
          </cell>
          <cell r="H192">
            <v>2.1211414507043199E-5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1.2840106269621601E-3</v>
          </cell>
          <cell r="F193">
            <v>1.3166276678026961E-3</v>
          </cell>
          <cell r="G193">
            <v>1.3363963928184441E-3</v>
          </cell>
          <cell r="H193">
            <v>1.3208459650529971E-3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5.1445585533479287E-5</v>
          </cell>
          <cell r="G194">
            <v>3.1915164579594032E-3</v>
          </cell>
          <cell r="H194">
            <v>3.5373703319212337E-3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5.1445585533479287E-5</v>
          </cell>
          <cell r="G195">
            <v>3.1915164579594032E-3</v>
          </cell>
          <cell r="H195">
            <v>3.5373703319212337E-3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5.14455855334793E-5</v>
          </cell>
          <cell r="G196">
            <v>3.1915164579594001E-3</v>
          </cell>
          <cell r="H196">
            <v>3.5373703319212398E-3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1.75437252041664E-5</v>
          </cell>
          <cell r="G197">
            <v>1.00103024150647E-3</v>
          </cell>
          <cell r="H197">
            <v>1.5303261632187301E-6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1.75437252041664E-5</v>
          </cell>
          <cell r="G198">
            <v>1.01857396671064E-3</v>
          </cell>
          <cell r="H198">
            <v>1.0201042928738599E-3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0.96588280742748445</v>
          </cell>
          <cell r="F199">
            <v>2.8059471014246066E-3</v>
          </cell>
          <cell r="G199">
            <v>3.4951461761179078E-3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1.8035550624362757</v>
          </cell>
          <cell r="F200">
            <v>5.3917815851516728E-3</v>
          </cell>
          <cell r="G200">
            <v>7.0007647796376136E-3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207.84359099891199</v>
          </cell>
          <cell r="F201">
            <v>0.73245408064399598</v>
          </cell>
          <cell r="G201">
            <v>0.96587692111185497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3.6851700531721989</v>
          </cell>
          <cell r="F202">
            <v>1.2986774479503482E-2</v>
          </cell>
          <cell r="G202">
            <v>1.712547732467827E-2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4.8927798363755904E-7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4.9830330951298497E-2</v>
          </cell>
          <cell r="F204">
            <v>9.5748858947823645E-4</v>
          </cell>
          <cell r="G204">
            <v>9.4906585205793703E-4</v>
          </cell>
          <cell r="H204">
            <v>-3.9367278556468044E-7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12.841921281761417</v>
          </cell>
          <cell r="F205">
            <v>16.032973740636169</v>
          </cell>
          <cell r="G205">
            <v>1.9927207124012329</v>
          </cell>
          <cell r="H205">
            <v>12.747286844153882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12.841921281761417</v>
          </cell>
          <cell r="F206">
            <v>16.032973740636169</v>
          </cell>
          <cell r="G206">
            <v>1.9927207124012329</v>
          </cell>
          <cell r="H206">
            <v>12.747286844153882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16.052402543639801</v>
          </cell>
          <cell r="F207">
            <v>20.041217418509834</v>
          </cell>
          <cell r="G207">
            <v>2.4909008936353687</v>
          </cell>
          <cell r="H207">
            <v>15.934107880496622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16.052402543639801</v>
          </cell>
          <cell r="F208">
            <v>20.041217418509834</v>
          </cell>
          <cell r="G208">
            <v>2.4909008936353687</v>
          </cell>
          <cell r="H208">
            <v>15.934107880496622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1.7642924765643315E-4</v>
          </cell>
          <cell r="F210">
            <v>5.0298925358825458E-4</v>
          </cell>
          <cell r="G210">
            <v>6.8554078032373256E-3</v>
          </cell>
          <cell r="H210">
            <v>9.7418660260086088E-5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1.7642924765643358E-4</v>
          </cell>
          <cell r="F211">
            <v>5.0265415082104137E-4</v>
          </cell>
          <cell r="G211">
            <v>6.8482741842953547E-3</v>
          </cell>
          <cell r="H211">
            <v>9.7418660260086088E-5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1.4015369676632987E-4</v>
          </cell>
          <cell r="F212">
            <v>6.6001863790442076E-4</v>
          </cell>
          <cell r="G212">
            <v>8.8446283696068002E-3</v>
          </cell>
          <cell r="H212">
            <v>7.6585446310895006E-5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1.4015369676632987E-4</v>
          </cell>
          <cell r="F213">
            <v>6.6001863790442076E-4</v>
          </cell>
          <cell r="G213">
            <v>8.8446283696068002E-3</v>
          </cell>
          <cell r="H213">
            <v>7.6585446310895006E-5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2.0909538307616101E-3</v>
          </cell>
          <cell r="F214">
            <v>5.9225589794029502E-5</v>
          </cell>
          <cell r="G214">
            <v>3.45445283614741E-5</v>
          </cell>
          <cell r="H214">
            <v>1.7349043147509301E-5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2.0909538307616101E-3</v>
          </cell>
          <cell r="F215">
            <v>2.1465764829872885E-3</v>
          </cell>
          <cell r="G215">
            <v>2.1683412633167528E-3</v>
          </cell>
          <cell r="H215">
            <v>2.1051535104391807E-3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H216">
            <v>5.7305147420061789E-4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H217">
            <v>2.8652573710030916E-4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H218">
            <v>6.2154044509451702E-2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H219">
            <v>1.102022065770421E-3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>
            <v>1.0647970895617399E-4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>
            <v>1.0647970895617399E-4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2.1758165020020603E-3</v>
          </cell>
          <cell r="F222">
            <v>6.6948522357503277E-4</v>
          </cell>
          <cell r="G222">
            <v>1.7634679249990761E-2</v>
          </cell>
          <cell r="H222">
            <v>2.92561476059696E-3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2.1758165020020555E-3</v>
          </cell>
          <cell r="F223">
            <v>6.6893845395749345E-4</v>
          </cell>
          <cell r="G223">
            <v>1.76121860366617E-2</v>
          </cell>
          <cell r="H223">
            <v>2.9256147605969643E-3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2.703139107394407E-3</v>
          </cell>
          <cell r="F224">
            <v>8.1533274601034247E-4</v>
          </cell>
          <cell r="G224">
            <v>2.099541828909033E-2</v>
          </cell>
          <cell r="H224">
            <v>3.3648938237823191E-3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2.703139107394407E-3</v>
          </cell>
          <cell r="F225">
            <v>8.1533274601034247E-4</v>
          </cell>
          <cell r="G225">
            <v>2.099541828909033E-2</v>
          </cell>
          <cell r="H225">
            <v>3.3648938237823191E-3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2.9274389768048099E-3</v>
          </cell>
          <cell r="F226">
            <v>3.43949319656932E-5</v>
          </cell>
          <cell r="G226">
            <v>3.7866943715446703E-5</v>
          </cell>
          <cell r="H226">
            <v>2.16404292701852E-5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2.9370895179738018E-3</v>
          </cell>
          <cell r="F227">
            <v>2.9632791589339733E-3</v>
          </cell>
          <cell r="G227">
            <v>2.9863987906410686E-3</v>
          </cell>
          <cell r="H227">
            <v>2.9616147880732781E-3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27.364999718126999</v>
          </cell>
          <cell r="F228">
            <v>16.553301138559799</v>
          </cell>
          <cell r="G228">
            <v>17.735033090167601</v>
          </cell>
          <cell r="H228">
            <v>17.128234513812501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0.36510138849103291</v>
          </cell>
          <cell r="F229">
            <v>0.22085266917781096</v>
          </cell>
          <cell r="G229">
            <v>0.23661923160428203</v>
          </cell>
          <cell r="H229">
            <v>0.22852337905381115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0.37130257419439544</v>
          </cell>
          <cell r="F230">
            <v>0.2246038146344615</v>
          </cell>
          <cell r="G230">
            <v>0.24063816947310149</v>
          </cell>
          <cell r="H230">
            <v>0.23240481022812026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66.745680112610472</v>
          </cell>
          <cell r="F231">
            <v>49.777212378854543</v>
          </cell>
          <cell r="G231">
            <v>68.645778541219599</v>
          </cell>
          <cell r="H231">
            <v>70.088316651231693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66.745680112610472</v>
          </cell>
          <cell r="F232">
            <v>49.777212378854543</v>
          </cell>
          <cell r="G232">
            <v>68.645778541219599</v>
          </cell>
          <cell r="H232">
            <v>70.088316651231693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1.7642830299890454E-4</v>
          </cell>
          <cell r="F234">
            <v>1.0797910403433858E-4</v>
          </cell>
          <cell r="G234">
            <v>4.2614420797478875E-5</v>
          </cell>
          <cell r="H234">
            <v>9.741856204042819E-5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1.7642830299890397E-4</v>
          </cell>
          <cell r="F235">
            <v>1.0805109010369457E-4</v>
          </cell>
          <cell r="G235">
            <v>4.265881081914289E-5</v>
          </cell>
          <cell r="H235">
            <v>9.741856204042819E-5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1.4015243722301647E-4</v>
          </cell>
          <cell r="F236">
            <v>8.218209839604185E-5</v>
          </cell>
          <cell r="G236">
            <v>3.4305404471680979E-5</v>
          </cell>
          <cell r="H236">
            <v>7.6587469013714588E-5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1.4015243722301647E-4</v>
          </cell>
          <cell r="F237">
            <v>8.218209839604185E-5</v>
          </cell>
          <cell r="G237">
            <v>3.4305404471680979E-5</v>
          </cell>
          <cell r="H237">
            <v>7.6587469013714588E-5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1.4592830324687599E-3</v>
          </cell>
          <cell r="F238">
            <v>3.4553817545906E-5</v>
          </cell>
          <cell r="G238">
            <v>3.3249248219560703E-5</v>
          </cell>
          <cell r="H238">
            <v>2.2672144169526698E-5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1.4592830324687599E-3</v>
          </cell>
          <cell r="F239">
            <v>1.4893192161860394E-3</v>
          </cell>
          <cell r="G239">
            <v>1.5077795683599848E-3</v>
          </cell>
          <cell r="H239">
            <v>1.4971231129444456E-3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0.34128021842647699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0.34128021842647699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0.34128021842647699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7.5732728172474797E-2</v>
          </cell>
          <cell r="H243">
            <v>2.1608212416088402E-5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5.2749061246302797E-2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6.0674248489755774E-3</v>
          </cell>
          <cell r="F245">
            <v>2.2187830485179529E-3</v>
          </cell>
          <cell r="G245">
            <v>2.4202128521008596E-3</v>
          </cell>
          <cell r="H245">
            <v>1.0493963079038899E-3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55.83008484212025</v>
          </cell>
          <cell r="F246">
            <v>56.562847578205854</v>
          </cell>
          <cell r="G246">
            <v>52.980637101206455</v>
          </cell>
          <cell r="H246">
            <v>48.590337904679018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5.8700543249233586E-3</v>
          </cell>
          <cell r="F247">
            <v>1.5778910567771347E-3</v>
          </cell>
          <cell r="G247">
            <v>1.7191203417372095E-3</v>
          </cell>
          <cell r="H247">
            <v>8.1593090461958841E-4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25.760272643554835</v>
          </cell>
          <cell r="F248">
            <v>56.561250460319002</v>
          </cell>
          <cell r="G248">
            <v>52.979266396014836</v>
          </cell>
          <cell r="H248">
            <v>22.262896140263187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30.081738070879013</v>
          </cell>
          <cell r="F249">
            <v>5.387603145171521E-3</v>
          </cell>
          <cell r="G249">
            <v>5.5014983909895954E-3</v>
          </cell>
          <cell r="H249">
            <v>26.32929899029104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3.8212775084898598E-7</v>
          </cell>
          <cell r="F250">
            <v>3.7535459297719302E-7</v>
          </cell>
          <cell r="G250">
            <v>3.9856910458876099E-7</v>
          </cell>
          <cell r="H250">
            <v>4.6474918150264298E-7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4.492737487406143</v>
          </cell>
          <cell r="G251">
            <v>4.4927381206445531</v>
          </cell>
          <cell r="H251">
            <v>4.492738774913704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5.311523541400966E-3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5.311523541400966E-3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5.4837746555928195E-4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5.4837746555928195E-4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3.7693960503644348E-6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3.7693960503644348E-6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3.7693960503644399E-6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1.17042475905319E-6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1.17042475905319E-6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6.5070005923053778</v>
          </cell>
          <cell r="F261">
            <v>7.3027688248977967</v>
          </cell>
          <cell r="G261">
            <v>8.1297111475369732</v>
          </cell>
          <cell r="H261">
            <v>7.4043110724754833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1689.2933501892101</v>
          </cell>
          <cell r="F262">
            <v>1895.8840772900801</v>
          </cell>
          <cell r="G262">
            <v>2110.5679622548801</v>
          </cell>
          <cell r="H262">
            <v>1922.24563069137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18.203592135659559</v>
          </cell>
          <cell r="F263">
            <v>20.429785315625889</v>
          </cell>
          <cell r="G263">
            <v>22.743189248436227</v>
          </cell>
          <cell r="H263">
            <v>20.713853779001781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4.0707196678010802E-7</v>
          </cell>
          <cell r="G264">
            <v>3.0783424821491899E-2</v>
          </cell>
          <cell r="H264">
            <v>3.8564063429006701E-2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0.2725042151764665</v>
          </cell>
          <cell r="F265">
            <v>0.27250200379123268</v>
          </cell>
          <cell r="G265">
            <v>0.30328432895804347</v>
          </cell>
          <cell r="H265">
            <v>0.27622345481929328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0.43672966925582346</v>
          </cell>
          <cell r="F266">
            <v>0.55206768262756589</v>
          </cell>
          <cell r="G266">
            <v>4.0588397060294454</v>
          </cell>
          <cell r="H266">
            <v>8.2117635912634483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0.43672966925582346</v>
          </cell>
          <cell r="F267">
            <v>0.55206768262756589</v>
          </cell>
          <cell r="G267">
            <v>4.0588397060294454</v>
          </cell>
          <cell r="H267">
            <v>8.2117635912634483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3.3708580862392159</v>
          </cell>
          <cell r="F268">
            <v>1.7650601203835439</v>
          </cell>
          <cell r="G268">
            <v>1.3553999277612956</v>
          </cell>
          <cell r="H268">
            <v>4.4105365711922948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3.3708580862392159</v>
          </cell>
          <cell r="F269">
            <v>1.7650601203835439</v>
          </cell>
          <cell r="G269">
            <v>1.3553999277612956</v>
          </cell>
          <cell r="H269">
            <v>4.4105365711922948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1.2239490554796482</v>
          </cell>
          <cell r="F270">
            <v>1.1046123929723608</v>
          </cell>
          <cell r="G270">
            <v>0.94706971953345853</v>
          </cell>
          <cell r="H270">
            <v>0.73282714695160733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1.7484986506852089</v>
          </cell>
          <cell r="F271">
            <v>1.57801770424623</v>
          </cell>
          <cell r="G271">
            <v>1.3529567421906554</v>
          </cell>
          <cell r="H271">
            <v>1.0468959242165832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0.15525422354157301</v>
          </cell>
          <cell r="F272">
            <v>1.0176555478003401E-6</v>
          </cell>
          <cell r="G272">
            <v>1.4617930178713899E-6</v>
          </cell>
          <cell r="H272">
            <v>1.5060333720309599E-6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0.15525422354157301</v>
          </cell>
          <cell r="F273">
            <v>0.155255241197121</v>
          </cell>
          <cell r="G273">
            <v>0.155256702990138</v>
          </cell>
          <cell r="H273">
            <v>0.15525820902351001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1522.8535352149299</v>
          </cell>
          <cell r="F280">
            <v>1526.96065029037</v>
          </cell>
          <cell r="G280">
            <v>1325.50765389244</v>
          </cell>
          <cell r="H280">
            <v>925.60761794532596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27.219898609328194</v>
          </cell>
          <cell r="F281">
            <v>28.48848834550672</v>
          </cell>
          <cell r="G281">
            <v>23.431094175302199</v>
          </cell>
          <cell r="H281">
            <v>16.359886886161966</v>
          </cell>
        </row>
        <row r="282">
          <cell r="B282" t="str">
            <v>D-SNGA</v>
          </cell>
          <cell r="C282" t="str">
            <v>VAR_fin</v>
          </cell>
          <cell r="D282" t="str">
            <v>NGA</v>
          </cell>
          <cell r="E282">
            <v>27.000949205938415</v>
          </cell>
          <cell r="F282">
            <v>27.07377039521926</v>
          </cell>
          <cell r="G282">
            <v>23.501908756958223</v>
          </cell>
          <cell r="H282">
            <v>16.411482587683093</v>
          </cell>
        </row>
        <row r="283">
          <cell r="B283" t="str">
            <v>D-SNGA</v>
          </cell>
          <cell r="C283" t="str">
            <v>VAR_fin</v>
          </cell>
          <cell r="D283" t="str">
            <v>BNGA</v>
          </cell>
          <cell r="E283">
            <v>0.30590662467220447</v>
          </cell>
          <cell r="F283">
            <v>1.5057278331903059</v>
          </cell>
          <cell r="G283">
            <v>4.0388507661247245E-3</v>
          </cell>
          <cell r="H283">
            <v>7.125699945034565E-4</v>
          </cell>
        </row>
        <row r="284">
          <cell r="B284" t="str">
            <v>D-SNGA</v>
          </cell>
          <cell r="C284" t="str">
            <v>VAR_ncap</v>
          </cell>
          <cell r="D284" t="str">
            <v>-</v>
          </cell>
          <cell r="E284">
            <v>1.4205046757999899E-6</v>
          </cell>
          <cell r="F284">
            <v>1.42118786919093E-7</v>
          </cell>
          <cell r="G284">
            <v>1.8144361829259701E-7</v>
          </cell>
          <cell r="H284">
            <v>2.23343946267997E-7</v>
          </cell>
        </row>
        <row r="285">
          <cell r="B285" t="str">
            <v>D-SNGA</v>
          </cell>
          <cell r="C285" t="str">
            <v>VAR_cap</v>
          </cell>
          <cell r="D285" t="str">
            <v>-</v>
          </cell>
          <cell r="E285">
            <v>2.2350536221298158</v>
          </cell>
          <cell r="F285">
            <v>2.2350537642486028</v>
          </cell>
          <cell r="G285">
            <v>2.2350539456922212</v>
          </cell>
          <cell r="H285">
            <v>2.2350541690361676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2.9886333655236801E-6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2.9886333655236801E-6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13.182436228871303</v>
          </cell>
          <cell r="F288">
            <v>14.582408872352195</v>
          </cell>
          <cell r="G288">
            <v>14.082838563938472</v>
          </cell>
          <cell r="H288">
            <v>11.753904216841988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6.2181428244136314E-3</v>
          </cell>
          <cell r="F289">
            <v>1.5413615091178275E-3</v>
          </cell>
          <cell r="G289">
            <v>1.6442014088931956E-3</v>
          </cell>
          <cell r="H289">
            <v>8.5141102422214496E-4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21.063642798663196</v>
          </cell>
          <cell r="F290">
            <v>17.850794196329378</v>
          </cell>
          <cell r="G290">
            <v>17.784005252966164</v>
          </cell>
          <cell r="H290">
            <v>17.007764247126573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10.041383355635581</v>
          </cell>
          <cell r="F291">
            <v>14.605124623389651</v>
          </cell>
          <cell r="G291">
            <v>14.857818107753838</v>
          </cell>
          <cell r="H291">
            <v>13.508864826372587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22.206717089137708</v>
          </cell>
          <cell r="F292">
            <v>18.284128151687543</v>
          </cell>
          <cell r="G292">
            <v>15.891019432106933</v>
          </cell>
          <cell r="H292">
            <v>15.856033570260241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66.500361105988034</v>
          </cell>
          <cell r="F293">
            <v>65.323997205267858</v>
          </cell>
          <cell r="G293">
            <v>62.617325558174301</v>
          </cell>
          <cell r="H293">
            <v>58.127408029804293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5.46223562707703E-8</v>
          </cell>
          <cell r="F294">
            <v>5.6682448929099602E-8</v>
          </cell>
          <cell r="G294">
            <v>5.84012421370996E-8</v>
          </cell>
          <cell r="H294">
            <v>6.8508961957273702E-8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4.3300925320424879</v>
          </cell>
          <cell r="G295">
            <v>4.3300926255875352</v>
          </cell>
          <cell r="H295">
            <v>4.3300927216816776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94.256133901977705</v>
          </cell>
          <cell r="F296">
            <v>98.062928744310199</v>
          </cell>
          <cell r="G296">
            <v>5.5528761949101302</v>
          </cell>
          <cell r="H296"/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0.5944065807918173</v>
          </cell>
          <cell r="F297">
            <v>0.62590301078518684</v>
          </cell>
          <cell r="G297">
            <v>3.4489305936688121E-2</v>
          </cell>
          <cell r="H297"/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0.69258640293380602</v>
          </cell>
          <cell r="F298">
            <v>0.75024212052094263</v>
          </cell>
          <cell r="G298">
            <v>4.3072991597041317E-2</v>
          </cell>
          <cell r="H298"/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1.6712080479074065</v>
          </cell>
          <cell r="F299">
            <v>1.7387044103601106</v>
          </cell>
          <cell r="G299">
            <v>9.8455251682803793E-2</v>
          </cell>
          <cell r="H299"/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2.7173166157582501E-2</v>
          </cell>
          <cell r="G300"/>
          <cell r="H300"/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6.5199833188994749E-2</v>
          </cell>
          <cell r="F301">
            <v>4.787875832378715E-2</v>
          </cell>
          <cell r="G301">
            <v>2.0805725468645009E-3</v>
          </cell>
          <cell r="H301">
            <v>3.0575504335469961E-4</v>
          </cell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0.62579068270623206</v>
          </cell>
          <cell r="F302">
            <v>0.73757504239591842</v>
          </cell>
          <cell r="G302">
            <v>4.1320262560192482</v>
          </cell>
          <cell r="H302">
            <v>4.1204293641236873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0.62579068270623206</v>
          </cell>
          <cell r="F303">
            <v>0.73757504239591842</v>
          </cell>
          <cell r="G303">
            <v>4.1320262560192482</v>
          </cell>
          <cell r="H303">
            <v>4.1204293641236873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2.6454017286340362E-4</v>
          </cell>
          <cell r="F304">
            <v>7.6083488356235691E-4</v>
          </cell>
          <cell r="G304">
            <v>5.9155624826007875E-3</v>
          </cell>
          <cell r="H304">
            <v>8.5948166911178371E-4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2.6454017286340302E-4</v>
          </cell>
          <cell r="F305">
            <v>7.6134210681806267E-4</v>
          </cell>
          <cell r="G305">
            <v>5.9217245268534946E-3</v>
          </cell>
          <cell r="H305">
            <v>8.5948166911178371E-4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3.513080725699675E-4</v>
          </cell>
          <cell r="F306">
            <v>1.0010451410824329E-3</v>
          </cell>
          <cell r="G306">
            <v>7.6419953868677249E-3</v>
          </cell>
          <cell r="H306">
            <v>1.0741946094196726E-3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3.513080725699675E-4</v>
          </cell>
          <cell r="F307">
            <v>1.0010451410824329E-3</v>
          </cell>
          <cell r="G307">
            <v>7.6419953868677249E-3</v>
          </cell>
          <cell r="H307">
            <v>1.0741946094196726E-3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2.0813193692280699E-4</v>
          </cell>
          <cell r="F308">
            <v>5.2194929566728296E-6</v>
          </cell>
          <cell r="G308">
            <v>4.1961201967086196E-6</v>
          </cell>
          <cell r="H308">
            <v>2.5776339002009E-6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3.7297029480962558E-4</v>
          </cell>
          <cell r="F309">
            <v>3.7666739395901121E-4</v>
          </cell>
          <cell r="G309">
            <v>3.7851673686003996E-4</v>
          </cell>
          <cell r="H309">
            <v>2.6784950379769612E-4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0.92913892525545705</v>
          </cell>
          <cell r="F310">
            <v>2.069725559294302</v>
          </cell>
          <cell r="G310">
            <v>1.4615311602964836</v>
          </cell>
          <cell r="H310">
            <v>1.3081997356338326</v>
          </cell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7.0486401226275919E-2</v>
          </cell>
          <cell r="F311">
            <v>0.17125964002307831</v>
          </cell>
          <cell r="G311">
            <v>0.13998611686209467</v>
          </cell>
          <cell r="H311">
            <v>0.16991219858824239</v>
          </cell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22.1894003367109</v>
          </cell>
          <cell r="F312">
            <v>51.184312216306502</v>
          </cell>
          <cell r="G312">
            <v>40.866813004966197</v>
          </cell>
          <cell r="H312">
            <v>47.559349926385998</v>
          </cell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0.30107734513854689</v>
          </cell>
          <cell r="F313">
            <v>0.69449541677485049</v>
          </cell>
          <cell r="G313">
            <v>0.55450221173631142</v>
          </cell>
          <cell r="H313">
            <v>0.64531003970673007</v>
          </cell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1.99366786751226E-2</v>
          </cell>
          <cell r="G314"/>
          <cell r="H314"/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8.3040024032151726E-3</v>
          </cell>
          <cell r="F315">
            <v>2.0868379925520056E-2</v>
          </cell>
          <cell r="G315">
            <v>2.0867556207018724E-2</v>
          </cell>
          <cell r="H315">
            <v>2.0866575209567813E-2</v>
          </cell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29.714400892613327</v>
          </cell>
          <cell r="F316">
            <v>29.714386913589724</v>
          </cell>
          <cell r="G316">
            <v>29.714398555964085</v>
          </cell>
          <cell r="H316">
            <v>29.414770575338284</v>
          </cell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89.58057804469783</v>
          </cell>
          <cell r="F317">
            <v>89.580535901865559</v>
          </cell>
          <cell r="G317">
            <v>89.580571000356301</v>
          </cell>
          <cell r="H317">
            <v>88.67727674247017</v>
          </cell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1.0099999855385424</v>
          </cell>
          <cell r="F318">
            <v>1.009999937302396</v>
          </cell>
          <cell r="G318">
            <v>1.0100000461416994</v>
          </cell>
          <cell r="H318">
            <v>1.0099999877833221</v>
          </cell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2653.5325996075699</v>
          </cell>
          <cell r="F319">
            <v>2631.4490938948702</v>
          </cell>
          <cell r="G319">
            <v>2628.1362091869801</v>
          </cell>
          <cell r="H319">
            <v>1863.0595302691299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47.208107741281346</v>
          </cell>
          <cell r="F320">
            <v>48.283022792420439</v>
          </cell>
          <cell r="G320">
            <v>46.453833302211642</v>
          </cell>
          <cell r="H320">
            <v>32.928511277388097</v>
          </cell>
        </row>
        <row r="321">
          <cell r="B321" t="str">
            <v>D-RNGA</v>
          </cell>
          <cell r="C321" t="str">
            <v>VAR_fin</v>
          </cell>
          <cell r="D321" t="str">
            <v>NGA</v>
          </cell>
          <cell r="E321">
            <v>47.048450347651972</v>
          </cell>
          <cell r="F321">
            <v>46.656898827923193</v>
          </cell>
          <cell r="G321">
            <v>46.598159737357761</v>
          </cell>
          <cell r="H321">
            <v>33.032970394842778</v>
          </cell>
        </row>
        <row r="322">
          <cell r="B322" t="str">
            <v>D-RNGA</v>
          </cell>
          <cell r="C322" t="str">
            <v>VAR_fin</v>
          </cell>
          <cell r="D322" t="str">
            <v>BNGA</v>
          </cell>
          <cell r="E322">
            <v>0.31046933933503029</v>
          </cell>
          <cell r="F322">
            <v>1.7803698548807694</v>
          </cell>
          <cell r="G322">
            <v>4.0758906616505507E-3</v>
          </cell>
          <cell r="H322">
            <v>7.3494967778758706E-4</v>
          </cell>
        </row>
        <row r="323">
          <cell r="B323" t="str">
            <v>D-RNGA</v>
          </cell>
          <cell r="C323" t="str">
            <v>VAR_ncap</v>
          </cell>
          <cell r="D323" t="str">
            <v>-</v>
          </cell>
          <cell r="E323">
            <v>2.3128746290509899E-7</v>
          </cell>
          <cell r="F323">
            <v>8.2751284011778095E-8</v>
          </cell>
          <cell r="G323">
            <v>9.9658606581239097E-8</v>
          </cell>
          <cell r="H323">
            <v>9.9093113946501296E-8</v>
          </cell>
        </row>
        <row r="324">
          <cell r="B324" t="str">
            <v>D-RNGA</v>
          </cell>
          <cell r="C324" t="str">
            <v>VAR_cap</v>
          </cell>
          <cell r="D324" t="str">
            <v>-</v>
          </cell>
          <cell r="E324">
            <v>3.0972402386833831</v>
          </cell>
          <cell r="F324">
            <v>3.0972403214346671</v>
          </cell>
          <cell r="G324">
            <v>3.0972404210932738</v>
          </cell>
          <cell r="H324">
            <v>3.0972405201863875</v>
          </cell>
        </row>
        <row r="325">
          <cell r="B325" t="str">
            <v>ITOT-CHPHFC</v>
          </cell>
          <cell r="C325" t="str">
            <v>VAR_fout</v>
          </cell>
          <cell r="D325" t="str">
            <v>ITOT_LTH_CHP</v>
          </cell>
          <cell r="E325"/>
          <cell r="F325"/>
          <cell r="G325"/>
          <cell r="H325">
            <v>2.8228148349367144E-2</v>
          </cell>
        </row>
        <row r="326">
          <cell r="B326" t="str">
            <v>ITOT-CHPHFC</v>
          </cell>
          <cell r="C326" t="str">
            <v>VAR_fout</v>
          </cell>
          <cell r="D326" t="str">
            <v>ITOT_KEV_HFC_ELC_CHP</v>
          </cell>
          <cell r="E326"/>
          <cell r="F326"/>
          <cell r="G326"/>
          <cell r="H326">
            <v>3.776468495388307E-2</v>
          </cell>
        </row>
        <row r="327">
          <cell r="B327" t="str">
            <v>ITOT-CHPHFC</v>
          </cell>
          <cell r="C327" t="str">
            <v>VAR_fin</v>
          </cell>
          <cell r="D327" t="str">
            <v>IH2</v>
          </cell>
          <cell r="E327"/>
          <cell r="F327"/>
          <cell r="G327"/>
          <cell r="H327">
            <v>7.6292292836127387E-2</v>
          </cell>
        </row>
        <row r="328">
          <cell r="B328" t="str">
            <v>ITOT-CHPHFC</v>
          </cell>
          <cell r="C328" t="str">
            <v>VAR_ncap</v>
          </cell>
          <cell r="D328" t="str">
            <v>-</v>
          </cell>
          <cell r="E328"/>
          <cell r="F328"/>
          <cell r="G328"/>
          <cell r="H328">
            <v>1.43238914022726E-3</v>
          </cell>
        </row>
        <row r="329">
          <cell r="B329" t="str">
            <v>ITOT-CHPHFC</v>
          </cell>
          <cell r="C329" t="str">
            <v>VAR_cap</v>
          </cell>
          <cell r="D329" t="str">
            <v>-</v>
          </cell>
          <cell r="E329"/>
          <cell r="F329"/>
          <cell r="G329"/>
          <cell r="H329">
            <v>1.43238914022726E-3</v>
          </cell>
        </row>
        <row r="330">
          <cell r="B330" t="str">
            <v>G-INTC-TRA</v>
          </cell>
          <cell r="C330" t="str">
            <v>VAR_fout</v>
          </cell>
          <cell r="D330" t="str">
            <v>TRAN_ELC</v>
          </cell>
          <cell r="E330">
            <v>10.80624785190418</v>
          </cell>
          <cell r="F330">
            <v>12.316561905121821</v>
          </cell>
          <cell r="G330">
            <v>15.533186485373005</v>
          </cell>
          <cell r="H330">
            <v>30.997474745550782</v>
          </cell>
        </row>
        <row r="331">
          <cell r="B331" t="str">
            <v>G-INTC-TRA</v>
          </cell>
          <cell r="C331" t="str">
            <v>VAR_fin</v>
          </cell>
          <cell r="D331" t="str">
            <v>ELC3</v>
          </cell>
          <cell r="E331">
            <v>9.9749980171423278</v>
          </cell>
          <cell r="F331">
            <v>12.311711510178078</v>
          </cell>
          <cell r="G331">
            <v>15.527884452250747</v>
          </cell>
          <cell r="H331">
            <v>21.790304029050557</v>
          </cell>
        </row>
        <row r="332">
          <cell r="B332" t="str">
            <v>G-INTC-TRA</v>
          </cell>
          <cell r="C332" t="str">
            <v>VAR_fin</v>
          </cell>
          <cell r="D332" t="str">
            <v>ELC5</v>
          </cell>
          <cell r="E332">
            <v>0.83124983476186043</v>
          </cell>
          <cell r="F332">
            <v>4.8503949437244788E-3</v>
          </cell>
          <cell r="G332">
            <v>5.302033122257555E-3</v>
          </cell>
          <cell r="H332">
            <v>9.2071707165002401</v>
          </cell>
        </row>
        <row r="333">
          <cell r="B333" t="str">
            <v>G-INTC-TRA</v>
          </cell>
          <cell r="C333" t="str">
            <v>VAR_ncap</v>
          </cell>
          <cell r="D333" t="str">
            <v>-</v>
          </cell>
          <cell r="E333">
            <v>8.7107000329578702E-7</v>
          </cell>
          <cell r="F333">
            <v>1.1159583544281901E-6</v>
          </cell>
          <cell r="G333">
            <v>3.60795719849935E-6</v>
          </cell>
          <cell r="H333">
            <v>0.307542513244281</v>
          </cell>
        </row>
        <row r="334">
          <cell r="B334" t="str">
            <v>G-INTC-TRA</v>
          </cell>
          <cell r="C334" t="str">
            <v>VAR_cap</v>
          </cell>
          <cell r="D334" t="str">
            <v>-</v>
          </cell>
          <cell r="E334">
            <v>0.86351880627381705</v>
          </cell>
          <cell r="F334">
            <v>0.8635190894910485</v>
          </cell>
          <cell r="G334">
            <v>0.86352079330217479</v>
          </cell>
          <cell r="H334">
            <v>1.0327310140275421</v>
          </cell>
        </row>
        <row r="335">
          <cell r="B335" t="str">
            <v>SCOM-SWHSTG-CHPBIO</v>
          </cell>
          <cell r="C335" t="str">
            <v>VAR_fout</v>
          </cell>
          <cell r="D335" t="str">
            <v>AUX_SCOM-CHPBIO_OUT</v>
          </cell>
          <cell r="E335">
            <v>1.0094004533761631E-5</v>
          </cell>
          <cell r="F335">
            <v>1.3094435619509431E-4</v>
          </cell>
          <cell r="G335">
            <v>7.7756410722913074</v>
          </cell>
          <cell r="H335">
            <v>8.8603677868706541</v>
          </cell>
        </row>
        <row r="336">
          <cell r="B336" t="str">
            <v>SCOM-SWHSTG-CHPBIO</v>
          </cell>
          <cell r="C336" t="str">
            <v>VAR_fout</v>
          </cell>
          <cell r="D336" t="str">
            <v>SCOM_LTH_CHPBIO</v>
          </cell>
          <cell r="E336">
            <v>1.0094004533761653E-5</v>
          </cell>
          <cell r="F336">
            <v>1.310513860647813E-4</v>
          </cell>
          <cell r="G336">
            <v>7.785571648373419</v>
          </cell>
          <cell r="H336">
            <v>8.8603677868706363</v>
          </cell>
        </row>
        <row r="337">
          <cell r="B337" t="str">
            <v>SCOM-SWHSTG-CHPBIO</v>
          </cell>
          <cell r="C337" t="str">
            <v>VAR_fin</v>
          </cell>
          <cell r="D337" t="str">
            <v>SCOM_LTH_CHPBIO</v>
          </cell>
          <cell r="E337">
            <v>1.6698207637540511E-5</v>
          </cell>
          <cell r="F337">
            <v>1.6154814569054361E-4</v>
          </cell>
          <cell r="G337">
            <v>9.2685276184970071</v>
          </cell>
          <cell r="H337">
            <v>10.184325174361883</v>
          </cell>
        </row>
        <row r="338">
          <cell r="B338" t="str">
            <v>SCOM-SWHSTG-CHPBIO</v>
          </cell>
          <cell r="C338" t="str">
            <v>VAR_fin</v>
          </cell>
          <cell r="D338" t="str">
            <v>AUX_SCOM-CHPBIO_IN</v>
          </cell>
          <cell r="E338">
            <v>1.6698207637540511E-5</v>
          </cell>
          <cell r="F338">
            <v>1.6154814569054361E-4</v>
          </cell>
          <cell r="G338">
            <v>9.2685276184970071</v>
          </cell>
          <cell r="H338">
            <v>10.184325174361883</v>
          </cell>
        </row>
        <row r="339">
          <cell r="B339" t="str">
            <v>SCOM-SWHSTG-CHPBIO</v>
          </cell>
          <cell r="C339" t="str">
            <v>VAR_ncap</v>
          </cell>
          <cell r="D339" t="str">
            <v>-</v>
          </cell>
          <cell r="E339">
            <v>4.0833256951962197E-3</v>
          </cell>
          <cell r="F339">
            <v>5.2073365863761197E-5</v>
          </cell>
          <cell r="G339">
            <v>0.48502957445331801</v>
          </cell>
          <cell r="H339">
            <v>6.6354912086683301E-2</v>
          </cell>
        </row>
        <row r="340">
          <cell r="B340" t="str">
            <v>SCOM-SWHSTG-CHPBIO</v>
          </cell>
          <cell r="C340" t="str">
            <v>VAR_cap</v>
          </cell>
          <cell r="D340" t="str">
            <v>-</v>
          </cell>
          <cell r="E340">
            <v>4.0833256951962197E-3</v>
          </cell>
          <cell r="F340">
            <v>4.1308351737816291E-3</v>
          </cell>
          <cell r="G340">
            <v>0.48914630536934184</v>
          </cell>
          <cell r="H340">
            <v>0.55547831545753734</v>
          </cell>
        </row>
        <row r="341">
          <cell r="B341" t="str">
            <v>SCOM-SWHSTG-CHPHFC</v>
          </cell>
          <cell r="C341" t="str">
            <v>VAR_fout</v>
          </cell>
          <cell r="D341" t="str">
            <v>AUX_SCOM-CHPHFC_OUT</v>
          </cell>
          <cell r="E341">
            <v>1.3726175005833048E-4</v>
          </cell>
          <cell r="F341">
            <v>8.3508896888645113E-5</v>
          </cell>
          <cell r="G341">
            <v>8.5298373250606362E-5</v>
          </cell>
          <cell r="H341">
            <v>4.422878612994815E-5</v>
          </cell>
        </row>
        <row r="342">
          <cell r="B342" t="str">
            <v>SCOM-SWHSTG-CHPHFC</v>
          </cell>
          <cell r="C342" t="str">
            <v>VAR_fout</v>
          </cell>
          <cell r="D342" t="str">
            <v>SCOM_LTH_CHPHFC</v>
          </cell>
          <cell r="E342">
            <v>1.3726175005833078E-4</v>
          </cell>
          <cell r="F342">
            <v>8.3577154479971813E-5</v>
          </cell>
          <cell r="G342">
            <v>8.5407311147478216E-5</v>
          </cell>
          <cell r="H342">
            <v>4.4228786129948069E-5</v>
          </cell>
        </row>
        <row r="343">
          <cell r="B343" t="str">
            <v>SCOM-SWHSTG-CHPHFC</v>
          </cell>
          <cell r="C343" t="str">
            <v>VAR_fin</v>
          </cell>
          <cell r="D343" t="str">
            <v>SCOM_LTH_CHPHFC</v>
          </cell>
          <cell r="E343">
            <v>1.3726175005833078E-4</v>
          </cell>
          <cell r="F343">
            <v>8.3577154479971813E-5</v>
          </cell>
          <cell r="G343">
            <v>8.5407311147478216E-5</v>
          </cell>
          <cell r="H343">
            <v>4.4228786129948069E-5</v>
          </cell>
        </row>
        <row r="344">
          <cell r="B344" t="str">
            <v>SCOM-SWHSTG-CHPHFC</v>
          </cell>
          <cell r="C344" t="str">
            <v>VAR_fin</v>
          </cell>
          <cell r="D344" t="str">
            <v>AUX_SCOM-CHPHFC_IN</v>
          </cell>
          <cell r="E344">
            <v>1.3726175005833078E-4</v>
          </cell>
          <cell r="F344">
            <v>8.3577154479971813E-5</v>
          </cell>
          <cell r="G344">
            <v>8.5407311147478216E-5</v>
          </cell>
          <cell r="H344">
            <v>4.4228786129948069E-5</v>
          </cell>
        </row>
        <row r="345">
          <cell r="B345" t="str">
            <v>SCOM-SWHSTG-CHPHFC</v>
          </cell>
          <cell r="C345" t="str">
            <v>VAR_ncap</v>
          </cell>
          <cell r="D345" t="str">
            <v>-</v>
          </cell>
          <cell r="E345">
            <v>1.2840128865126499E-3</v>
          </cell>
          <cell r="F345">
            <v>3.7353031478854801E-5</v>
          </cell>
          <cell r="G345">
            <v>3.3640807909567503E-5</v>
          </cell>
          <cell r="H345">
            <v>2.1211620995875999E-5</v>
          </cell>
        </row>
        <row r="346">
          <cell r="B346" t="str">
            <v>SCOM-SWHSTG-CHPHFC</v>
          </cell>
          <cell r="C346" t="str">
            <v>VAR_cap</v>
          </cell>
          <cell r="D346" t="str">
            <v>-</v>
          </cell>
          <cell r="E346">
            <v>1.2840128865126499E-3</v>
          </cell>
          <cell r="F346">
            <v>1.3166344275350765E-3</v>
          </cell>
          <cell r="G346">
            <v>1.3363973391787613E-3</v>
          </cell>
          <cell r="H346">
            <v>1.3208524362152427E-3</v>
          </cell>
        </row>
        <row r="347">
          <cell r="B347" t="str">
            <v>D-IHFO</v>
          </cell>
          <cell r="C347" t="str">
            <v>VAR_fout</v>
          </cell>
          <cell r="D347" t="str">
            <v>CO2</v>
          </cell>
          <cell r="E347">
            <v>213.780868433677</v>
          </cell>
          <cell r="F347">
            <v>188.342282215155</v>
          </cell>
          <cell r="G347">
            <v>0.31621603593098502</v>
          </cell>
          <cell r="H347">
            <v>5.6509617958628897E-2</v>
          </cell>
        </row>
        <row r="348">
          <cell r="B348" t="str">
            <v>D-IHFO</v>
          </cell>
          <cell r="C348" t="str">
            <v>VAR_fout</v>
          </cell>
          <cell r="D348" t="str">
            <v>IHFO</v>
          </cell>
          <cell r="E348">
            <v>2.7300062180726159</v>
          </cell>
          <cell r="F348">
            <v>2.4051525533627287</v>
          </cell>
          <cell r="G348">
            <v>4.0381150599249392E-3</v>
          </cell>
          <cell r="H348">
            <v>7.2163430496974355E-4</v>
          </cell>
        </row>
        <row r="349">
          <cell r="B349" t="str">
            <v>D-IHFO</v>
          </cell>
          <cell r="C349" t="str">
            <v>VAR_fin</v>
          </cell>
          <cell r="D349" t="str">
            <v>HFO</v>
          </cell>
          <cell r="E349">
            <v>2.7763749147230832</v>
          </cell>
          <cell r="F349">
            <v>2.4460036651318813</v>
          </cell>
          <cell r="G349">
            <v>4.106701765337473E-3</v>
          </cell>
          <cell r="H349">
            <v>7.3389114231985552E-4</v>
          </cell>
        </row>
        <row r="350">
          <cell r="B350" t="str">
            <v>RHNM-CHPNGA</v>
          </cell>
          <cell r="C350" t="str">
            <v>VAR_fout</v>
          </cell>
          <cell r="D350" t="str">
            <v>CO2_R</v>
          </cell>
          <cell r="E350"/>
          <cell r="F350">
            <v>2.2763788564627601</v>
          </cell>
          <cell r="G350">
            <v>9.3433356878208507</v>
          </cell>
          <cell r="H350"/>
        </row>
        <row r="351">
          <cell r="B351" t="str">
            <v>RHNM-CHPNGA</v>
          </cell>
          <cell r="C351" t="str">
            <v>VAR_fout</v>
          </cell>
          <cell r="D351" t="str">
            <v>RHNM_NKEV_GAS_ELC_CHP</v>
          </cell>
          <cell r="E351"/>
          <cell r="F351">
            <v>1.1749551650940467E-2</v>
          </cell>
          <cell r="G351">
            <v>4.7615949206586648E-2</v>
          </cell>
          <cell r="H351"/>
        </row>
        <row r="352">
          <cell r="B352" t="str">
            <v>RHNM-CHPNGA</v>
          </cell>
          <cell r="C352" t="str">
            <v>VAR_fout</v>
          </cell>
          <cell r="D352" t="str">
            <v>RHNM_LTH_CHPNGA</v>
          </cell>
          <cell r="E352"/>
          <cell r="F352">
            <v>2.5276391804482982E-2</v>
          </cell>
          <cell r="G352">
            <v>0.100923919927524</v>
          </cell>
          <cell r="H352"/>
        </row>
        <row r="353">
          <cell r="B353" t="str">
            <v>RHNM-CHPNGA</v>
          </cell>
          <cell r="C353" t="str">
            <v>VAR_fin</v>
          </cell>
          <cell r="D353" t="str">
            <v>RNGA</v>
          </cell>
          <cell r="E353"/>
          <cell r="F353">
            <v>4.036132724224762E-2</v>
          </cell>
          <cell r="G353">
            <v>0.16566198028051154</v>
          </cell>
          <cell r="H353"/>
        </row>
        <row r="354">
          <cell r="B354" t="str">
            <v>RHNM-CHPNGA</v>
          </cell>
          <cell r="C354" t="str">
            <v>VAR_ncap</v>
          </cell>
          <cell r="D354" t="str">
            <v>-</v>
          </cell>
          <cell r="E354"/>
          <cell r="F354">
            <v>3.5509066735393302E-3</v>
          </cell>
          <cell r="G354"/>
          <cell r="H354"/>
        </row>
        <row r="355">
          <cell r="B355" t="str">
            <v>RHNM-CHPNGA</v>
          </cell>
          <cell r="C355" t="str">
            <v>VAR_cap</v>
          </cell>
          <cell r="D355" t="str">
            <v>-</v>
          </cell>
          <cell r="E355"/>
          <cell r="F355">
            <v>3.5509066735393302E-3</v>
          </cell>
          <cell r="G355">
            <v>3.5509066735393302E-3</v>
          </cell>
          <cell r="H355">
            <v>1.4892694488306997E-4</v>
          </cell>
        </row>
        <row r="356">
          <cell r="B356" t="str">
            <v>G-INTC-EXP00-DE</v>
          </cell>
          <cell r="C356" t="str">
            <v>VAR_fout</v>
          </cell>
          <cell r="D356" t="str">
            <v>ELC_E-DE</v>
          </cell>
          <cell r="E356">
            <v>26.492980719095737</v>
          </cell>
          <cell r="F356">
            <v>7.1760488921404045E-4</v>
          </cell>
          <cell r="G356">
            <v>8.9900510017724717E-4</v>
          </cell>
          <cell r="H356">
            <v>3.7200592421887816E-3</v>
          </cell>
        </row>
        <row r="357">
          <cell r="B357" t="str">
            <v>G-INTC-EXP00-DE</v>
          </cell>
          <cell r="C357" t="str">
            <v>VAR_fin</v>
          </cell>
          <cell r="D357" t="str">
            <v>ELC</v>
          </cell>
          <cell r="E357">
            <v>26.492980719095737</v>
          </cell>
          <cell r="F357">
            <v>7.1760488921404045E-4</v>
          </cell>
          <cell r="G357">
            <v>8.9900510017724717E-4</v>
          </cell>
          <cell r="H357">
            <v>3.7200592421887816E-3</v>
          </cell>
        </row>
        <row r="358">
          <cell r="B358" t="str">
            <v>G-INTC-EXP00-DE</v>
          </cell>
          <cell r="C358" t="str">
            <v>VAR_ncap</v>
          </cell>
          <cell r="D358" t="str">
            <v>-</v>
          </cell>
          <cell r="E358">
            <v>1.4903961207255299E-6</v>
          </cell>
          <cell r="F358">
            <v>1.31483985311748E-6</v>
          </cell>
          <cell r="G358">
            <v>1.7909000533825399E-6</v>
          </cell>
          <cell r="H358">
            <v>3.59373057164235E-6</v>
          </cell>
        </row>
        <row r="359">
          <cell r="B359" t="str">
            <v>G-INTC-EXP00-DE</v>
          </cell>
          <cell r="C359" t="str">
            <v>VAR_cap</v>
          </cell>
          <cell r="D359" t="str">
            <v>-</v>
          </cell>
          <cell r="E359">
            <v>4.0268809682299498</v>
          </cell>
          <cell r="F359">
            <v>1.565705573479903E-3</v>
          </cell>
          <cell r="G359">
            <v>1.5621958588498686E-3</v>
          </cell>
          <cell r="H359">
            <v>1.5611230558940647E-3</v>
          </cell>
        </row>
        <row r="360">
          <cell r="B360" t="str">
            <v>CEN-EBAT</v>
          </cell>
          <cell r="C360" t="str">
            <v>VAR_fout</v>
          </cell>
          <cell r="D360" t="str">
            <v>ELC13</v>
          </cell>
          <cell r="E360">
            <v>5.2209829490788709E-3</v>
          </cell>
          <cell r="F360">
            <v>4.1544246318369607E-3</v>
          </cell>
          <cell r="G360">
            <v>1.4085063157461192E-2</v>
          </cell>
          <cell r="H360">
            <v>7.8275653384326821E-2</v>
          </cell>
        </row>
        <row r="361">
          <cell r="B361" t="str">
            <v>CEN-EBAT</v>
          </cell>
          <cell r="C361" t="str">
            <v>VAR_fout</v>
          </cell>
          <cell r="D361" t="str">
            <v>AUX_CEN-EBAT_OUT</v>
          </cell>
          <cell r="E361">
            <v>5.2209829490788518E-3</v>
          </cell>
          <cell r="F361">
            <v>4.1544246318369451E-3</v>
          </cell>
          <cell r="G361">
            <v>1.408506315746115E-2</v>
          </cell>
          <cell r="H361">
            <v>7.8275653384326627E-2</v>
          </cell>
        </row>
        <row r="362">
          <cell r="B362" t="str">
            <v>CEN-EBAT</v>
          </cell>
          <cell r="C362" t="str">
            <v>VAR_fin</v>
          </cell>
          <cell r="D362" t="str">
            <v>AUX_CEN-EBAT_IN</v>
          </cell>
          <cell r="E362">
            <v>6.0310360681182732E-3</v>
          </cell>
          <cell r="F362">
            <v>4.7984440365173913E-3</v>
          </cell>
          <cell r="G362">
            <v>1.6245153355764139E-2</v>
          </cell>
          <cell r="H362">
            <v>9.0279813957836144E-2</v>
          </cell>
        </row>
        <row r="363">
          <cell r="B363" t="str">
            <v>CEN-EBAT</v>
          </cell>
          <cell r="C363" t="str">
            <v>VAR_fin</v>
          </cell>
          <cell r="D363" t="str">
            <v>ELC13</v>
          </cell>
          <cell r="E363">
            <v>6.0310360681182732E-3</v>
          </cell>
          <cell r="F363">
            <v>4.7984440365173913E-3</v>
          </cell>
          <cell r="G363">
            <v>1.6245153355764139E-2</v>
          </cell>
          <cell r="H363">
            <v>9.0279813957836144E-2</v>
          </cell>
        </row>
        <row r="364">
          <cell r="B364" t="str">
            <v>CEN-EBAT</v>
          </cell>
          <cell r="C364" t="str">
            <v>VAR_ncap</v>
          </cell>
          <cell r="D364" t="str">
            <v>-</v>
          </cell>
          <cell r="E364">
            <v>8.9249768425911499E-4</v>
          </cell>
          <cell r="F364">
            <v>1.25181825878667E-6</v>
          </cell>
          <cell r="G364">
            <v>5.7163117513129701E-3</v>
          </cell>
          <cell r="H364">
            <v>2.0208713622328799E-2</v>
          </cell>
        </row>
        <row r="365">
          <cell r="B365" t="str">
            <v>CEN-EBAT</v>
          </cell>
          <cell r="C365" t="str">
            <v>VAR_cap</v>
          </cell>
          <cell r="D365" t="str">
            <v>-</v>
          </cell>
          <cell r="E365">
            <v>8.9249768425911499E-4</v>
          </cell>
          <cell r="F365">
            <v>8.9325737775757116E-4</v>
          </cell>
          <cell r="G365">
            <v>6.609030821311852E-3</v>
          </cell>
          <cell r="H365">
            <v>2.6577893794245737E-2</v>
          </cell>
        </row>
        <row r="366">
          <cell r="B366" t="str">
            <v>ESOL-PV</v>
          </cell>
          <cell r="C366" t="str">
            <v>VAR_fout</v>
          </cell>
          <cell r="D366" t="str">
            <v>ELC35</v>
          </cell>
          <cell r="E366"/>
          <cell r="F366"/>
          <cell r="G366">
            <v>0.14080295862804201</v>
          </cell>
          <cell r="H366">
            <v>0.15586855668376146</v>
          </cell>
        </row>
        <row r="367">
          <cell r="B367" t="str">
            <v>ESOL-PV</v>
          </cell>
          <cell r="C367" t="str">
            <v>VAR_fin</v>
          </cell>
          <cell r="D367" t="str">
            <v>SOL</v>
          </cell>
          <cell r="E367"/>
          <cell r="F367"/>
          <cell r="G367">
            <v>0.14080295862804201</v>
          </cell>
          <cell r="H367">
            <v>0.15586855668376146</v>
          </cell>
        </row>
        <row r="368">
          <cell r="B368" t="str">
            <v>ESOL-PV</v>
          </cell>
          <cell r="C368" t="str">
            <v>VAR_fin</v>
          </cell>
          <cell r="D368" t="str">
            <v>SOLPVC</v>
          </cell>
          <cell r="E368"/>
          <cell r="F368"/>
          <cell r="G368">
            <v>0.14080295862804201</v>
          </cell>
          <cell r="H368">
            <v>0.15586855668376101</v>
          </cell>
        </row>
        <row r="369">
          <cell r="B369" t="str">
            <v>ESOL-PV</v>
          </cell>
          <cell r="C369" t="str">
            <v>VAR_ncap</v>
          </cell>
          <cell r="D369" t="str">
            <v>-</v>
          </cell>
          <cell r="E369"/>
          <cell r="F369"/>
          <cell r="G369">
            <v>4.4924587249207101E-2</v>
          </cell>
          <cell r="H369">
            <v>7.8886355147241497E-6</v>
          </cell>
        </row>
        <row r="370">
          <cell r="B370" t="str">
            <v>ESOL-PV</v>
          </cell>
          <cell r="C370" t="str">
            <v>VAR_cap</v>
          </cell>
          <cell r="D370" t="str">
            <v>-</v>
          </cell>
          <cell r="E370"/>
          <cell r="F370"/>
          <cell r="G370">
            <v>4.4924587249207101E-2</v>
          </cell>
          <cell r="H370">
            <v>4.4932475884721899E-2</v>
          </cell>
        </row>
        <row r="371">
          <cell r="B371" t="str">
            <v>RHEM-SHSTG-CHPNGA</v>
          </cell>
          <cell r="C371" t="str">
            <v>VAR_fout</v>
          </cell>
          <cell r="D371" t="str">
            <v>RHEM_LTH_CHPNGA</v>
          </cell>
          <cell r="E371">
            <v>3.4255654568794917E-2</v>
          </cell>
          <cell r="F371">
            <v>5.1278657860480881E-4</v>
          </cell>
          <cell r="G371">
            <v>2.3213887363247108E-2</v>
          </cell>
          <cell r="H371">
            <v>9.7494337582067577E-5</v>
          </cell>
        </row>
        <row r="372">
          <cell r="B372" t="str">
            <v>RHEM-SHSTG-CHPNGA</v>
          </cell>
          <cell r="C372" t="str">
            <v>VAR_fout</v>
          </cell>
          <cell r="D372" t="str">
            <v>AUX_REM-CHPNGA_OUT</v>
          </cell>
          <cell r="E372">
            <v>3.4255654568794994E-2</v>
          </cell>
          <cell r="F372">
            <v>5.1244494863905026E-4</v>
          </cell>
          <cell r="G372">
            <v>2.3189731393046045E-2</v>
          </cell>
          <cell r="H372">
            <v>9.7494337582067577E-5</v>
          </cell>
        </row>
        <row r="373">
          <cell r="B373" t="str">
            <v>RHEM-SHSTG-CHPNGA</v>
          </cell>
          <cell r="C373" t="str">
            <v>VAR_fin</v>
          </cell>
          <cell r="D373" t="str">
            <v>AUX_REM-CHPNGA_IN</v>
          </cell>
          <cell r="E373">
            <v>4.5679560523855113E-2</v>
          </cell>
          <cell r="F373">
            <v>6.7399839341883471E-4</v>
          </cell>
          <cell r="G373">
            <v>2.995234393092101E-2</v>
          </cell>
          <cell r="H373">
            <v>7.655508798537566E-5</v>
          </cell>
        </row>
        <row r="374">
          <cell r="B374" t="str">
            <v>RHEM-SHSTG-CHPNGA</v>
          </cell>
          <cell r="C374" t="str">
            <v>VAR_fin</v>
          </cell>
          <cell r="D374" t="str">
            <v>RHEM_LTH_CHPNGA</v>
          </cell>
          <cell r="E374">
            <v>4.5679560523855113E-2</v>
          </cell>
          <cell r="F374">
            <v>6.7399839341883471E-4</v>
          </cell>
          <cell r="G374">
            <v>2.995234393092101E-2</v>
          </cell>
          <cell r="H374">
            <v>7.655508798537566E-5</v>
          </cell>
        </row>
        <row r="375">
          <cell r="B375" t="str">
            <v>RHEM-SHSTG-CHPNGA</v>
          </cell>
          <cell r="C375" t="str">
            <v>VAR_ncap</v>
          </cell>
          <cell r="D375" t="str">
            <v>-</v>
          </cell>
          <cell r="E375">
            <v>4.0274633702338299E-3</v>
          </cell>
          <cell r="F375">
            <v>5.3715319868730397E-5</v>
          </cell>
          <cell r="G375">
            <v>4.0817661064604803E-5</v>
          </cell>
          <cell r="H375">
            <v>2.54472605671097E-5</v>
          </cell>
        </row>
        <row r="376">
          <cell r="B376" t="str">
            <v>RHEM-SHSTG-CHPNGA</v>
          </cell>
          <cell r="C376" t="str">
            <v>VAR_cap</v>
          </cell>
          <cell r="D376" t="str">
            <v>-</v>
          </cell>
          <cell r="E376">
            <v>4.0274633702338299E-3</v>
          </cell>
          <cell r="F376">
            <v>4.074001778879204E-3</v>
          </cell>
          <cell r="G376">
            <v>4.0896924142658029E-3</v>
          </cell>
          <cell r="H376">
            <v>3.908775846102483E-3</v>
          </cell>
        </row>
        <row r="377">
          <cell r="B377" t="str">
            <v>RHNS-ESOLPV</v>
          </cell>
          <cell r="C377" t="str">
            <v>VAR_fout</v>
          </cell>
          <cell r="D377" t="str">
            <v>RHNS_SOL_ELC</v>
          </cell>
          <cell r="E377"/>
          <cell r="F377">
            <v>4.580285602008919E-5</v>
          </cell>
          <cell r="G377">
            <v>1.9731193324245504</v>
          </cell>
          <cell r="H377">
            <v>6.8417159420314482</v>
          </cell>
        </row>
        <row r="378">
          <cell r="B378" t="str">
            <v>RHNS-ESOLPV</v>
          </cell>
          <cell r="C378" t="str">
            <v>VAR_fin</v>
          </cell>
          <cell r="D378" t="str">
            <v>SOL</v>
          </cell>
          <cell r="E378"/>
          <cell r="F378">
            <v>4.580285602008919E-5</v>
          </cell>
          <cell r="G378">
            <v>1.9731193324245504</v>
          </cell>
          <cell r="H378">
            <v>6.8417159420314482</v>
          </cell>
        </row>
        <row r="379">
          <cell r="B379" t="str">
            <v>RHNS-ESOLPV</v>
          </cell>
          <cell r="C379" t="str">
            <v>VAR_fin</v>
          </cell>
          <cell r="D379" t="str">
            <v>SOLPVC</v>
          </cell>
          <cell r="E379"/>
          <cell r="F379">
            <v>4.5802856020089197E-5</v>
          </cell>
          <cell r="G379">
            <v>1.97311933242455</v>
          </cell>
          <cell r="H379">
            <v>6.8417159420314402</v>
          </cell>
        </row>
        <row r="380">
          <cell r="B380" t="str">
            <v>RHNS-ESOLPV</v>
          </cell>
          <cell r="C380" t="str">
            <v>VAR_ncap</v>
          </cell>
          <cell r="D380" t="str">
            <v>-</v>
          </cell>
          <cell r="E380"/>
          <cell r="F380">
            <v>1.56194688280788E-5</v>
          </cell>
          <cell r="G380">
            <v>0.62952785217149598</v>
          </cell>
          <cell r="H380">
            <v>1.342723909092</v>
          </cell>
        </row>
        <row r="381">
          <cell r="B381" t="str">
            <v>RHNS-ESOLPV</v>
          </cell>
          <cell r="C381" t="str">
            <v>VAR_cap</v>
          </cell>
          <cell r="D381" t="str">
            <v>-</v>
          </cell>
          <cell r="E381"/>
          <cell r="F381">
            <v>1.56194688280788E-5</v>
          </cell>
          <cell r="G381">
            <v>0.62954347164032398</v>
          </cell>
          <cell r="H381">
            <v>1.9722673807323301</v>
          </cell>
        </row>
        <row r="382">
          <cell r="B382" t="str">
            <v>RHSA-WHSTG-CHP</v>
          </cell>
          <cell r="C382" t="str">
            <v>VAR_fout</v>
          </cell>
          <cell r="D382" t="str">
            <v>AUX_RHSA-CHP_OUT</v>
          </cell>
          <cell r="E382">
            <v>9.0497335000355256E-2</v>
          </cell>
          <cell r="F382">
            <v>6.9812041216847913E-4</v>
          </cell>
          <cell r="G382">
            <v>2.0273153354192112E-2</v>
          </cell>
          <cell r="H382">
            <v>7.8562112098087291E-4</v>
          </cell>
        </row>
        <row r="383">
          <cell r="B383" t="str">
            <v>RHSA-WHSTG-CHP</v>
          </cell>
          <cell r="C383" t="str">
            <v>VAR_fout</v>
          </cell>
          <cell r="D383" t="str">
            <v>RHSA_LTH</v>
          </cell>
          <cell r="E383">
            <v>9.0497335000355034E-2</v>
          </cell>
          <cell r="F383">
            <v>6.9858582577658984E-4</v>
          </cell>
          <cell r="G383">
            <v>2.0294271222269383E-2</v>
          </cell>
          <cell r="H383">
            <v>7.8562112098087291E-4</v>
          </cell>
        </row>
        <row r="384">
          <cell r="B384" t="str">
            <v>RHSA-WHSTG-CHP</v>
          </cell>
          <cell r="C384" t="str">
            <v>VAR_fin</v>
          </cell>
          <cell r="D384" t="str">
            <v>RHSA_LTH</v>
          </cell>
          <cell r="E384">
            <v>0.1206574647021227</v>
          </cell>
          <cell r="F384">
            <v>9.0857127167748373E-4</v>
          </cell>
          <cell r="G384">
            <v>2.6185097297386002E-2</v>
          </cell>
          <cell r="H384">
            <v>9.8200007995709456E-4</v>
          </cell>
        </row>
        <row r="385">
          <cell r="B385" t="str">
            <v>RHSA-WHSTG-CHP</v>
          </cell>
          <cell r="C385" t="str">
            <v>VAR_fin</v>
          </cell>
          <cell r="D385" t="str">
            <v>AUX_RHSA-CHP_IN</v>
          </cell>
          <cell r="E385">
            <v>0.1206574647021227</v>
          </cell>
          <cell r="F385">
            <v>9.0857127167748373E-4</v>
          </cell>
          <cell r="G385">
            <v>2.6185097297386002E-2</v>
          </cell>
          <cell r="H385">
            <v>9.8200007995709456E-4</v>
          </cell>
        </row>
        <row r="386">
          <cell r="B386" t="str">
            <v>RHSA-WHSTG-CHP</v>
          </cell>
          <cell r="C386" t="str">
            <v>VAR_ncap</v>
          </cell>
          <cell r="D386" t="str">
            <v>-</v>
          </cell>
          <cell r="E386">
            <v>5.3321062082965203E-3</v>
          </cell>
          <cell r="F386">
            <v>3.1531248522446803E-5</v>
          </cell>
          <cell r="G386">
            <v>3.2484551233811698E-5</v>
          </cell>
          <cell r="H386">
            <v>2.7980545403846299E-5</v>
          </cell>
        </row>
        <row r="387">
          <cell r="B387" t="str">
            <v>RHSA-WHSTG-CHP</v>
          </cell>
          <cell r="C387" t="str">
            <v>VAR_cap</v>
          </cell>
          <cell r="D387" t="str">
            <v>-</v>
          </cell>
          <cell r="E387">
            <v>6.014698155987562E-3</v>
          </cell>
          <cell r="F387">
            <v>6.0115588602530677E-3</v>
          </cell>
          <cell r="G387">
            <v>5.9825590733582268E-3</v>
          </cell>
          <cell r="H387">
            <v>5.3521294356200172E-3</v>
          </cell>
        </row>
        <row r="388">
          <cell r="B388" t="str">
            <v>G-INTC-SER</v>
          </cell>
          <cell r="C388" t="str">
            <v>VAR_fout</v>
          </cell>
          <cell r="D388" t="str">
            <v>ELC35</v>
          </cell>
          <cell r="E388">
            <v>6.237459665905218E-3</v>
          </cell>
          <cell r="F388">
            <v>1.5286400489119335E-3</v>
          </cell>
          <cell r="G388">
            <v>1.6452829463132301E-3</v>
          </cell>
          <cell r="H388">
            <v>9.0207433235413846E-4</v>
          </cell>
        </row>
        <row r="389">
          <cell r="B389" t="str">
            <v>G-INTC-SER</v>
          </cell>
          <cell r="C389" t="str">
            <v>VAR_fout</v>
          </cell>
          <cell r="D389" t="str">
            <v>SCOM_ELC</v>
          </cell>
          <cell r="E389">
            <v>57.571965808000975</v>
          </cell>
          <cell r="F389">
            <v>56.856487326130086</v>
          </cell>
          <cell r="G389">
            <v>51.509295839009297</v>
          </cell>
          <cell r="H389">
            <v>43.200418994725773</v>
          </cell>
        </row>
        <row r="390">
          <cell r="B390" t="str">
            <v>G-INTC-SER</v>
          </cell>
          <cell r="C390" t="str">
            <v>VAR_fin</v>
          </cell>
          <cell r="D390" t="str">
            <v>ELC5</v>
          </cell>
          <cell r="E390">
            <v>57.578197168931865</v>
          </cell>
          <cell r="F390">
            <v>56.858015966178989</v>
          </cell>
          <cell r="G390">
            <v>51.510941121955575</v>
          </cell>
          <cell r="H390">
            <v>43.201317630601622</v>
          </cell>
        </row>
        <row r="391">
          <cell r="B391" t="str">
            <v>G-INTC-SER</v>
          </cell>
          <cell r="C391" t="str">
            <v>VAR_ncap</v>
          </cell>
          <cell r="D391" t="str">
            <v>-</v>
          </cell>
          <cell r="E391">
            <v>6.7344452054046707E-8</v>
          </cell>
          <cell r="F391">
            <v>7.0951832244659907E-8</v>
          </cell>
          <cell r="G391">
            <v>7.8828564193714401E-8</v>
          </cell>
          <cell r="H391">
            <v>9.2479446256267403E-8</v>
          </cell>
        </row>
        <row r="392">
          <cell r="B392" t="str">
            <v>G-INTC-SER</v>
          </cell>
          <cell r="C392" t="str">
            <v>VAR_cap</v>
          </cell>
          <cell r="D392" t="str">
            <v>-</v>
          </cell>
          <cell r="E392">
            <v>4.3683888589490198</v>
          </cell>
          <cell r="F392">
            <v>4.3683888808452043</v>
          </cell>
          <cell r="G392">
            <v>4.3683889972453045</v>
          </cell>
          <cell r="H392">
            <v>4.3683891269550736</v>
          </cell>
        </row>
        <row r="393">
          <cell r="B393" t="str">
            <v>CHPWOD</v>
          </cell>
          <cell r="C393" t="str">
            <v>VAR_fout</v>
          </cell>
          <cell r="D393" t="str">
            <v>ELC35</v>
          </cell>
          <cell r="E393">
            <v>0.39562051299735207</v>
          </cell>
          <cell r="F393">
            <v>4.6622693353357447E-2</v>
          </cell>
          <cell r="G393">
            <v>5.2940270723667818E-4</v>
          </cell>
          <cell r="H393">
            <v>0.92522461008563606</v>
          </cell>
        </row>
        <row r="394">
          <cell r="B394" t="str">
            <v>CHPWOD</v>
          </cell>
          <cell r="C394" t="str">
            <v>VAR_fout</v>
          </cell>
          <cell r="D394" t="str">
            <v>LTH</v>
          </cell>
          <cell r="E394">
            <v>1.0346207266328014</v>
          </cell>
          <cell r="F394">
            <v>0.12192695598458982</v>
          </cell>
          <cell r="G394">
            <v>1.3844858788862895E-3</v>
          </cell>
          <cell r="H394">
            <v>2.419633277184889</v>
          </cell>
        </row>
        <row r="395">
          <cell r="B395" t="str">
            <v>CHPWOD</v>
          </cell>
          <cell r="C395" t="str">
            <v>VAR_fin</v>
          </cell>
          <cell r="D395" t="str">
            <v>EWOD</v>
          </cell>
          <cell r="E395">
            <v>1.6223594355540056</v>
          </cell>
          <cell r="F395">
            <v>0.18704241613731268</v>
          </cell>
          <cell r="G395">
            <v>2.4431855706411811E-3</v>
          </cell>
          <cell r="H395">
            <v>3.3636478993893646</v>
          </cell>
        </row>
        <row r="396">
          <cell r="B396" t="str">
            <v>CHPWOD</v>
          </cell>
          <cell r="C396" t="str">
            <v>VAR_ncap</v>
          </cell>
          <cell r="D396" t="str">
            <v>-</v>
          </cell>
          <cell r="E396"/>
          <cell r="F396">
            <v>1.8966089547181999E-7</v>
          </cell>
          <cell r="G396">
            <v>1.1072613097310799E-5</v>
          </cell>
          <cell r="H396">
            <v>3.4427877582963798E-2</v>
          </cell>
        </row>
        <row r="397">
          <cell r="B397" t="str">
            <v>CHPWOD</v>
          </cell>
          <cell r="C397" t="str">
            <v>VAR_cap</v>
          </cell>
          <cell r="D397" t="str">
            <v>-</v>
          </cell>
          <cell r="E397">
            <v>1.5027097372359299E-2</v>
          </cell>
          <cell r="F397">
            <v>8.5086461723831788E-3</v>
          </cell>
          <cell r="G397">
            <v>9.6494158690986487E-5</v>
          </cell>
          <cell r="H397">
            <v>3.4523186552553597E-2</v>
          </cell>
        </row>
        <row r="398">
          <cell r="B398" t="str">
            <v>D-EH2R</v>
          </cell>
          <cell r="C398" t="str">
            <v>VAR_fout</v>
          </cell>
          <cell r="D398" t="str">
            <v>EH2</v>
          </cell>
          <cell r="E398"/>
          <cell r="F398"/>
          <cell r="G398"/>
          <cell r="H398"/>
        </row>
        <row r="399">
          <cell r="B399" t="str">
            <v>D-EH2R</v>
          </cell>
          <cell r="C399" t="str">
            <v>VAR_fin</v>
          </cell>
          <cell r="D399" t="str">
            <v>H2</v>
          </cell>
          <cell r="E399"/>
          <cell r="F399"/>
          <cell r="G399"/>
          <cell r="H399"/>
        </row>
        <row r="400">
          <cell r="B400" t="str">
            <v>D-EH2R</v>
          </cell>
          <cell r="C400" t="str">
            <v>VAR_ncap</v>
          </cell>
          <cell r="D400" t="str">
            <v>-</v>
          </cell>
          <cell r="E400"/>
          <cell r="F400"/>
          <cell r="G400"/>
          <cell r="H400"/>
        </row>
        <row r="401">
          <cell r="B401" t="str">
            <v>D-EH2R</v>
          </cell>
          <cell r="C401" t="str">
            <v>VAR_cap</v>
          </cell>
          <cell r="D401" t="str">
            <v>-</v>
          </cell>
          <cell r="E401"/>
          <cell r="F401"/>
          <cell r="G401"/>
          <cell r="H401"/>
        </row>
        <row r="402">
          <cell r="B402" t="str">
            <v>G-INTC1</v>
          </cell>
          <cell r="C402" t="str">
            <v>VAR_fout</v>
          </cell>
          <cell r="D402" t="str">
            <v>ELC13</v>
          </cell>
          <cell r="E402">
            <v>125.00723427381057</v>
          </cell>
          <cell r="F402">
            <v>140.08108795767689</v>
          </cell>
          <cell r="G402">
            <v>119.37969722056852</v>
          </cell>
          <cell r="H402">
            <v>116.14645141022169</v>
          </cell>
        </row>
        <row r="403">
          <cell r="B403" t="str">
            <v>G-INTC1</v>
          </cell>
          <cell r="C403" t="str">
            <v>VAR_fin</v>
          </cell>
          <cell r="D403" t="str">
            <v>ELC</v>
          </cell>
          <cell r="E403">
            <v>126.32369013021764</v>
          </cell>
          <cell r="F403">
            <v>143.71196663008007</v>
          </cell>
          <cell r="G403">
            <v>122.20813674638678</v>
          </cell>
          <cell r="H403">
            <v>118.4696695339268</v>
          </cell>
        </row>
        <row r="404">
          <cell r="B404" t="str">
            <v>G-INTC1</v>
          </cell>
          <cell r="C404" t="str">
            <v>VAR_ncap</v>
          </cell>
          <cell r="D404" t="str">
            <v>-</v>
          </cell>
          <cell r="E404">
            <v>1.3044730079549399E-7</v>
          </cell>
          <cell r="F404">
            <v>1.31704878256801E-7</v>
          </cell>
          <cell r="G404">
            <v>1.5376117508325201E-7</v>
          </cell>
          <cell r="H404">
            <v>1.8360238950097101E-7</v>
          </cell>
        </row>
        <row r="405">
          <cell r="B405" t="str">
            <v>G-INTC1</v>
          </cell>
          <cell r="C405" t="str">
            <v>VAR_cap</v>
          </cell>
          <cell r="D405" t="str">
            <v>-</v>
          </cell>
          <cell r="E405">
            <v>15.305609183965201</v>
          </cell>
          <cell r="F405">
            <v>15.305609183965201</v>
          </cell>
          <cell r="G405">
            <v>15.305609183965201</v>
          </cell>
          <cell r="H405">
            <v>15.305609309406478</v>
          </cell>
        </row>
        <row r="406">
          <cell r="B406" t="str">
            <v>EHYD-RUNS00</v>
          </cell>
          <cell r="C406" t="str">
            <v>VAR_fout</v>
          </cell>
          <cell r="D406" t="str">
            <v>ELC35</v>
          </cell>
          <cell r="E406">
            <v>12.240000119867528</v>
          </cell>
          <cell r="F406">
            <v>12.24085146419451</v>
          </cell>
          <cell r="G406">
            <v>12.23475676973111</v>
          </cell>
          <cell r="H406">
            <v>12.231687140168454</v>
          </cell>
        </row>
        <row r="407">
          <cell r="B407" t="str">
            <v>EHYD-RUNS00</v>
          </cell>
          <cell r="C407" t="str">
            <v>VAR_fin</v>
          </cell>
          <cell r="D407" t="str">
            <v>HYDR</v>
          </cell>
          <cell r="E407">
            <v>12.240000119867528</v>
          </cell>
          <cell r="F407">
            <v>12.24085146419451</v>
          </cell>
          <cell r="G407">
            <v>12.23475676973111</v>
          </cell>
          <cell r="H407">
            <v>12.231687140168454</v>
          </cell>
        </row>
        <row r="408">
          <cell r="B408" t="str">
            <v>EHYD-RUNS00</v>
          </cell>
          <cell r="C408" t="str">
            <v>VAR_cap</v>
          </cell>
          <cell r="D408" t="str">
            <v>-</v>
          </cell>
          <cell r="E408">
            <v>0.85785999999999896</v>
          </cell>
          <cell r="F408">
            <v>0.88297936593724102</v>
          </cell>
          <cell r="G408">
            <v>0.89707999999999899</v>
          </cell>
          <cell r="H408">
            <v>0.89707999999999899</v>
          </cell>
        </row>
        <row r="409">
          <cell r="B409" t="str">
            <v>RHNS-SHSTG-CHPWOD</v>
          </cell>
          <cell r="C409" t="str">
            <v>VAR_fout</v>
          </cell>
          <cell r="D409" t="str">
            <v>AUX_RNS-CHPWOD_OUT</v>
          </cell>
          <cell r="E409">
            <v>1.7642830330399033E-4</v>
          </cell>
          <cell r="F409">
            <v>1.0797910315911133E-4</v>
          </cell>
          <cell r="G409">
            <v>4.261442018568261E-5</v>
          </cell>
          <cell r="H409">
            <v>9.7418632990908531E-5</v>
          </cell>
        </row>
        <row r="410">
          <cell r="B410" t="str">
            <v>RHNS-SHSTG-CHPWOD</v>
          </cell>
          <cell r="C410" t="str">
            <v>VAR_fout</v>
          </cell>
          <cell r="D410" t="str">
            <v>RHNS_LTH_CHPWOD</v>
          </cell>
          <cell r="E410">
            <v>1.7642830330398987E-4</v>
          </cell>
          <cell r="F410">
            <v>1.0805108922788394E-4</v>
          </cell>
          <cell r="G410">
            <v>4.2658810206709229E-5</v>
          </cell>
          <cell r="H410">
            <v>9.7418632990908531E-5</v>
          </cell>
        </row>
        <row r="411">
          <cell r="B411" t="str">
            <v>RHNS-SHSTG-CHPWOD</v>
          </cell>
          <cell r="C411" t="str">
            <v>VAR_fin</v>
          </cell>
          <cell r="D411" t="str">
            <v>AUX_RNS-CHPWOD_IN</v>
          </cell>
          <cell r="E411">
            <v>1.4015243762959402E-4</v>
          </cell>
          <cell r="F411">
            <v>8.2182097241923573E-5</v>
          </cell>
          <cell r="G411">
            <v>3.4305403680578546E-5</v>
          </cell>
          <cell r="H411">
            <v>7.6587521130366457E-5</v>
          </cell>
        </row>
        <row r="412">
          <cell r="B412" t="str">
            <v>RHNS-SHSTG-CHPWOD</v>
          </cell>
          <cell r="C412" t="str">
            <v>VAR_fin</v>
          </cell>
          <cell r="D412" t="str">
            <v>RHNS_LTH_CHPWOD</v>
          </cell>
          <cell r="E412">
            <v>1.4015243762959402E-4</v>
          </cell>
          <cell r="F412">
            <v>8.2182097241923573E-5</v>
          </cell>
          <cell r="G412">
            <v>3.4305403680578546E-5</v>
          </cell>
          <cell r="H412">
            <v>7.6587521130366457E-5</v>
          </cell>
        </row>
        <row r="413">
          <cell r="B413" t="str">
            <v>RHNS-SHSTG-CHPWOD</v>
          </cell>
          <cell r="C413" t="str">
            <v>VAR_ncap</v>
          </cell>
          <cell r="D413" t="str">
            <v>-</v>
          </cell>
          <cell r="E413">
            <v>1.4592731539035701E-3</v>
          </cell>
          <cell r="F413">
            <v>3.4553543681470598E-5</v>
          </cell>
          <cell r="G413">
            <v>3.32557309212378E-5</v>
          </cell>
          <cell r="H413">
            <v>2.2677504010549699E-5</v>
          </cell>
        </row>
        <row r="414">
          <cell r="B414" t="str">
            <v>RHNS-SHSTG-CHPWOD</v>
          </cell>
          <cell r="C414" t="str">
            <v>VAR_cap</v>
          </cell>
          <cell r="D414" t="str">
            <v>-</v>
          </cell>
          <cell r="E414">
            <v>1.4592731539035701E-3</v>
          </cell>
          <cell r="F414">
            <v>1.4893089483477306E-3</v>
          </cell>
          <cell r="G414">
            <v>1.5077750174845364E-3</v>
          </cell>
          <cell r="H414">
            <v>1.4971256444081184E-3</v>
          </cell>
        </row>
        <row r="415">
          <cell r="B415" t="str">
            <v>HPLOIL</v>
          </cell>
          <cell r="C415" t="str">
            <v>VAR_fout</v>
          </cell>
          <cell r="D415" t="str">
            <v>LTH</v>
          </cell>
          <cell r="E415">
            <v>0.18407183057608933</v>
          </cell>
          <cell r="F415">
            <v>0.18575860816385448</v>
          </cell>
          <cell r="G415">
            <v>0.1851905022463034</v>
          </cell>
          <cell r="H415">
            <v>0.18495312832747493</v>
          </cell>
        </row>
        <row r="416">
          <cell r="B416" t="str">
            <v>HPLOIL</v>
          </cell>
          <cell r="C416" t="str">
            <v>VAR_fout</v>
          </cell>
          <cell r="D416" t="str">
            <v>CO2_E</v>
          </cell>
          <cell r="E416">
            <v>15.8768966616667</v>
          </cell>
          <cell r="F416">
            <v>16.022387654874901</v>
          </cell>
          <cell r="G416">
            <v>15.9733863551235</v>
          </cell>
          <cell r="H416">
            <v>15.9529119502805</v>
          </cell>
        </row>
        <row r="417">
          <cell r="B417" t="str">
            <v>HPLOIL</v>
          </cell>
          <cell r="C417" t="str">
            <v>VAR_fin</v>
          </cell>
          <cell r="D417" t="str">
            <v>ELFO</v>
          </cell>
          <cell r="E417">
            <v>0.2154260062641343</v>
          </cell>
          <cell r="F417">
            <v>0.21740010386533087</v>
          </cell>
          <cell r="G417">
            <v>0.21673522869909792</v>
          </cell>
          <cell r="H417">
            <v>0.21645742130638385</v>
          </cell>
        </row>
        <row r="418">
          <cell r="B418" t="str">
            <v>HPLOIL</v>
          </cell>
          <cell r="C418" t="str">
            <v>VAR_ncap</v>
          </cell>
          <cell r="D418" t="str">
            <v>-</v>
          </cell>
          <cell r="E418">
            <v>4.3355417040845597E-5</v>
          </cell>
          <cell r="F418">
            <v>2.4820721207933898E-5</v>
          </cell>
          <cell r="G418">
            <v>2.5474926707671701E-5</v>
          </cell>
          <cell r="H418">
            <v>1.21954865539499E-2</v>
          </cell>
        </row>
        <row r="419">
          <cell r="B419" t="str">
            <v>HPLOIL</v>
          </cell>
          <cell r="C419" t="str">
            <v>VAR_cap</v>
          </cell>
          <cell r="D419" t="str">
            <v>-</v>
          </cell>
          <cell r="E419">
            <v>2.5731901245746647E-2</v>
          </cell>
          <cell r="F419">
            <v>2.4988632425254578E-2</v>
          </cell>
          <cell r="G419">
            <v>2.4998215165295851E-2</v>
          </cell>
          <cell r="H419">
            <v>2.347878081172499E-2</v>
          </cell>
        </row>
        <row r="420">
          <cell r="B420" t="str">
            <v>V2G</v>
          </cell>
          <cell r="C420" t="str">
            <v>VAR_fout</v>
          </cell>
          <cell r="D420" t="str">
            <v>ELC35</v>
          </cell>
          <cell r="E420"/>
          <cell r="F420"/>
          <cell r="G420"/>
          <cell r="H420">
            <v>1.7860914834579029E-2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T-ELC-Bus_c_BatSTGout_S1</v>
          </cell>
          <cell r="E421"/>
          <cell r="F421"/>
          <cell r="G421"/>
          <cell r="H421">
            <v>4.3945095038003956E-4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T-ELC-Bus_c_BatSTGout_S2</v>
          </cell>
          <cell r="E422"/>
          <cell r="F422"/>
          <cell r="G422"/>
          <cell r="H422">
            <v>4.0386001700034175E-4</v>
          </cell>
        </row>
        <row r="423">
          <cell r="B423" t="str">
            <v>V2G</v>
          </cell>
          <cell r="C423" t="str">
            <v>VAR_fin</v>
          </cell>
          <cell r="D423" t="str">
            <v>T-ELC-Bus_c_BatSTGout_S3</v>
          </cell>
          <cell r="E423"/>
          <cell r="F423"/>
          <cell r="G423"/>
          <cell r="H423">
            <v>3.2987581238910085E-4</v>
          </cell>
        </row>
        <row r="424">
          <cell r="B424" t="str">
            <v>V2G</v>
          </cell>
          <cell r="C424" t="str">
            <v>VAR_fin</v>
          </cell>
          <cell r="D424" t="str">
            <v>T-ELC-Bus_c_BatSTGout_S4</v>
          </cell>
          <cell r="E424"/>
          <cell r="F424"/>
          <cell r="G424"/>
          <cell r="H424">
            <v>1.9520586784445624E-5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T-ELC-car-BatSTGOut_S1</v>
          </cell>
          <cell r="E425"/>
          <cell r="F425"/>
          <cell r="G425"/>
          <cell r="H425">
            <v>1.0335655078104245E-3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T-ELC-car-BatSTGOut_S2</v>
          </cell>
          <cell r="E426"/>
          <cell r="F426"/>
          <cell r="G426"/>
          <cell r="H426">
            <v>6.8949342091061312E-4</v>
          </cell>
        </row>
        <row r="427">
          <cell r="B427" t="str">
            <v>V2G</v>
          </cell>
          <cell r="C427" t="str">
            <v>VAR_fin</v>
          </cell>
          <cell r="D427" t="str">
            <v>T-ELC-car-BatSTGOut_S3</v>
          </cell>
          <cell r="E427"/>
          <cell r="F427"/>
          <cell r="G427"/>
          <cell r="H427">
            <v>8.6415907686447407E-4</v>
          </cell>
        </row>
        <row r="428">
          <cell r="B428" t="str">
            <v>V2G</v>
          </cell>
          <cell r="C428" t="str">
            <v>VAR_fin</v>
          </cell>
          <cell r="D428" t="str">
            <v>T-ELC-car-BatSTGOut_S4</v>
          </cell>
          <cell r="E428"/>
          <cell r="F428"/>
          <cell r="G428"/>
          <cell r="H428">
            <v>6.4854806915955556E-4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T-ELC-car-PlgSTGOut_S1</v>
          </cell>
          <cell r="E429"/>
          <cell r="F429"/>
          <cell r="H429">
            <v>8.318572379401914E-4</v>
          </cell>
        </row>
        <row r="430">
          <cell r="B430" t="str">
            <v>V2G</v>
          </cell>
          <cell r="C430" t="str">
            <v>VAR_fin</v>
          </cell>
          <cell r="D430" t="str">
            <v>T-ELC-car-PlgSTGOut_S2</v>
          </cell>
          <cell r="E430"/>
          <cell r="F430"/>
          <cell r="H430">
            <v>1.8700962571080454E-4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T-ELC-car-PlgSTGOut_S3</v>
          </cell>
          <cell r="E431"/>
          <cell r="F431"/>
          <cell r="H431">
            <v>6.4066615980321029E-4</v>
          </cell>
        </row>
        <row r="432">
          <cell r="B432" t="str">
            <v>V2G</v>
          </cell>
          <cell r="C432" t="str">
            <v>VAR_fin</v>
          </cell>
          <cell r="D432" t="str">
            <v>T-ELC-TWSTGout_S1</v>
          </cell>
          <cell r="E432"/>
          <cell r="F432"/>
          <cell r="H432">
            <v>1.6995144835547618E-3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T-ELC-car-PlgSTGOut_S4</v>
          </cell>
          <cell r="E433"/>
          <cell r="F433"/>
          <cell r="H433">
            <v>1.5974839449415029E-4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T-ELC-TWSTGout_S2</v>
          </cell>
          <cell r="E434"/>
          <cell r="F434"/>
          <cell r="H434">
            <v>2.3877610098987645E-3</v>
          </cell>
        </row>
        <row r="435">
          <cell r="B435" t="str">
            <v>V2G</v>
          </cell>
          <cell r="C435" t="str">
            <v>VAR_fin</v>
          </cell>
          <cell r="D435" t="str">
            <v>T-ELC-TWSTGout_S3</v>
          </cell>
          <cell r="E435"/>
          <cell r="F435"/>
          <cell r="H435">
            <v>2.8538193260029929E-3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T-ELC-TWSTGout_S4</v>
          </cell>
          <cell r="E436"/>
          <cell r="F436"/>
          <cell r="G436"/>
          <cell r="H436">
            <v>2.8512197506020292E-3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T-ELC-Bus_u_BatSTGout_S1</v>
          </cell>
          <cell r="E437"/>
          <cell r="F437"/>
          <cell r="G437"/>
          <cell r="H437">
            <v>1.6848324167040548E-4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T-ELC-Bus_u_BatSTGout_S2</v>
          </cell>
          <cell r="E438"/>
          <cell r="F438"/>
          <cell r="G438"/>
          <cell r="H438">
            <v>1.4136850707962341E-4</v>
          </cell>
        </row>
        <row r="439">
          <cell r="B439" t="str">
            <v>V2G</v>
          </cell>
          <cell r="C439" t="str">
            <v>VAR_fin</v>
          </cell>
          <cell r="D439" t="str">
            <v>T-ELC-Bus_u_BatSTGout_S3</v>
          </cell>
          <cell r="E439"/>
          <cell r="F439"/>
          <cell r="G439"/>
          <cell r="H439">
            <v>7.4670220854704616E-5</v>
          </cell>
        </row>
        <row r="440">
          <cell r="B440" t="str">
            <v>V2G</v>
          </cell>
          <cell r="C440" t="str">
            <v>VAR_fin</v>
          </cell>
          <cell r="D440" t="str">
            <v>T-ELC-Bus_u_BatSTGout_S4</v>
          </cell>
          <cell r="E440"/>
          <cell r="F440"/>
          <cell r="G440"/>
          <cell r="H440">
            <v>1.6067665307345892E-4</v>
          </cell>
        </row>
        <row r="441">
          <cell r="B441" t="str">
            <v>V2G</v>
          </cell>
          <cell r="C441" t="str">
            <v>VAR_fin</v>
          </cell>
          <cell r="D441" t="str">
            <v>T-ELC-LGV_BatSTGout</v>
          </cell>
          <cell r="E441"/>
          <cell r="F441"/>
          <cell r="G441"/>
          <cell r="H441">
            <v>5.6999989973555783E-4</v>
          </cell>
        </row>
        <row r="442">
          <cell r="B442" t="str">
            <v>V2G</v>
          </cell>
          <cell r="C442" t="str">
            <v>VAR_fin</v>
          </cell>
          <cell r="D442" t="str">
            <v>T-ELC-HGV_BatSTGout</v>
          </cell>
          <cell r="E442"/>
          <cell r="F442"/>
          <cell r="G442"/>
          <cell r="H442">
            <v>7.4673539025894116E-4</v>
          </cell>
        </row>
        <row r="443">
          <cell r="B443" t="str">
            <v>V2G</v>
          </cell>
          <cell r="C443" t="str">
            <v>VAR_ncap</v>
          </cell>
          <cell r="D443" t="str">
            <v>-</v>
          </cell>
          <cell r="E443"/>
          <cell r="F443"/>
          <cell r="G443"/>
          <cell r="H443">
            <v>7.8925513617338107E-3</v>
          </cell>
        </row>
        <row r="444">
          <cell r="B444" t="str">
            <v>V2G</v>
          </cell>
          <cell r="C444" t="str">
            <v>VAR_cap</v>
          </cell>
          <cell r="D444" t="str">
            <v>-</v>
          </cell>
          <cell r="E444"/>
          <cell r="F444"/>
          <cell r="G444"/>
          <cell r="H444">
            <v>7.8925513617338107E-3</v>
          </cell>
        </row>
        <row r="445">
          <cell r="B445" t="str">
            <v>D-EBIO</v>
          </cell>
          <cell r="C445" t="str">
            <v>VAR_fout</v>
          </cell>
          <cell r="D445" t="str">
            <v>EBIO</v>
          </cell>
          <cell r="E445">
            <v>1.1839546275040558</v>
          </cell>
          <cell r="F445">
            <v>1.1839512854084648</v>
          </cell>
          <cell r="G445">
            <v>1.1839532828723747</v>
          </cell>
          <cell r="H445">
            <v>1.183957014577421</v>
          </cell>
        </row>
        <row r="446">
          <cell r="B446" t="str">
            <v>D-EBIO</v>
          </cell>
          <cell r="C446" t="str">
            <v>VAR_fin</v>
          </cell>
          <cell r="D446" t="str">
            <v>BIO</v>
          </cell>
          <cell r="E446">
            <v>1.1839546275040558</v>
          </cell>
          <cell r="F446">
            <v>1.1839512854084648</v>
          </cell>
          <cell r="G446">
            <v>1.1839532828723747</v>
          </cell>
          <cell r="H446">
            <v>1.183957014577421</v>
          </cell>
        </row>
        <row r="447">
          <cell r="B447" t="str">
            <v>G-INTC3</v>
          </cell>
          <cell r="C447" t="str">
            <v>VAR_fout</v>
          </cell>
          <cell r="D447" t="str">
            <v>ELC35</v>
          </cell>
          <cell r="E447">
            <v>202.04021484605423</v>
          </cell>
          <cell r="F447">
            <v>106.46183546758328</v>
          </cell>
          <cell r="G447">
            <v>96.940510116263454</v>
          </cell>
          <cell r="H447">
            <v>118.092204115833</v>
          </cell>
        </row>
        <row r="448">
          <cell r="B448" t="str">
            <v>G-INTC3</v>
          </cell>
          <cell r="C448" t="str">
            <v>VAR_fout</v>
          </cell>
          <cell r="D448" t="str">
            <v>ELC3</v>
          </cell>
          <cell r="E448">
            <v>35.735270660697189</v>
          </cell>
          <cell r="F448">
            <v>68.872961970497158</v>
          </cell>
          <cell r="G448">
            <v>68.507150848265567</v>
          </cell>
          <cell r="H448">
            <v>44.05320016931374</v>
          </cell>
        </row>
        <row r="449">
          <cell r="B449" t="str">
            <v>G-INTC3</v>
          </cell>
          <cell r="C449" t="str">
            <v>VAR_fout</v>
          </cell>
          <cell r="D449" t="str">
            <v>ELC</v>
          </cell>
          <cell r="E449">
            <v>3.8488874051703245E-2</v>
          </cell>
          <cell r="F449">
            <v>3.4209486544853583E-3</v>
          </cell>
          <cell r="G449">
            <v>3.3556446004739402E-3</v>
          </cell>
          <cell r="H449">
            <v>4.3175512712612406E-2</v>
          </cell>
        </row>
        <row r="450">
          <cell r="B450" t="str">
            <v>G-INTC3</v>
          </cell>
          <cell r="C450" t="str">
            <v>VAR_fin</v>
          </cell>
          <cell r="D450" t="str">
            <v>ELC13</v>
          </cell>
          <cell r="E450">
            <v>242.79590346841283</v>
          </cell>
          <cell r="F450">
            <v>183.6013911885843</v>
          </cell>
          <cell r="G450">
            <v>172.67896267584732</v>
          </cell>
          <cell r="H450">
            <v>168.35203279571985</v>
          </cell>
        </row>
        <row r="451">
          <cell r="B451" t="str">
            <v>G-INTC3</v>
          </cell>
          <cell r="C451" t="str">
            <v>VAR_ncap</v>
          </cell>
          <cell r="D451" t="str">
            <v>-</v>
          </cell>
          <cell r="E451">
            <v>1.6763109158824899E-7</v>
          </cell>
          <cell r="F451">
            <v>1.77468312472315E-7</v>
          </cell>
          <cell r="G451">
            <v>2.0924712703539301E-7</v>
          </cell>
          <cell r="H451">
            <v>2.4638041381057901E-7</v>
          </cell>
        </row>
        <row r="452">
          <cell r="B452" t="str">
            <v>G-INTC3</v>
          </cell>
          <cell r="C452" t="str">
            <v>VAR_cap</v>
          </cell>
          <cell r="D452" t="str">
            <v>-</v>
          </cell>
          <cell r="E452">
            <v>13.914190167241101</v>
          </cell>
          <cell r="F452">
            <v>13.914190167241101</v>
          </cell>
          <cell r="G452">
            <v>13.914190167241101</v>
          </cell>
          <cell r="H452">
            <v>13.914190331789388</v>
          </cell>
        </row>
        <row r="453">
          <cell r="B453" t="str">
            <v>HPLBIO</v>
          </cell>
          <cell r="C453" t="str">
            <v>VAR_fout</v>
          </cell>
          <cell r="D453" t="str">
            <v>LTH</v>
          </cell>
          <cell r="E453">
            <v>0.90177782070539469</v>
          </cell>
          <cell r="F453">
            <v>0.90177527514528077</v>
          </cell>
          <cell r="G453">
            <v>0.90177679654534826</v>
          </cell>
          <cell r="H453">
            <v>0.90177963885768497</v>
          </cell>
        </row>
        <row r="454">
          <cell r="B454" t="str">
            <v>HPLBIO</v>
          </cell>
          <cell r="C454" t="str">
            <v>VAR_fin</v>
          </cell>
          <cell r="D454" t="str">
            <v>EBIO</v>
          </cell>
          <cell r="E454">
            <v>1.1839546275040558</v>
          </cell>
          <cell r="F454">
            <v>1.1839512854084648</v>
          </cell>
          <cell r="G454">
            <v>1.1839532828723747</v>
          </cell>
          <cell r="H454">
            <v>1.183957014577421</v>
          </cell>
        </row>
        <row r="455">
          <cell r="B455" t="str">
            <v>HPLBIO</v>
          </cell>
          <cell r="C455" t="str">
            <v>VAR_ncap</v>
          </cell>
          <cell r="D455" t="str">
            <v>-</v>
          </cell>
          <cell r="E455">
            <v>2.5829118760136798E-5</v>
          </cell>
          <cell r="F455">
            <v>1.6203968050920699E-5</v>
          </cell>
          <cell r="G455">
            <v>1.31889718754575E-5</v>
          </cell>
          <cell r="H455">
            <v>6.2899039593549394E-2</v>
          </cell>
        </row>
        <row r="456">
          <cell r="B456" t="str">
            <v>HPLBIO</v>
          </cell>
          <cell r="C456" t="str">
            <v>VAR_cap</v>
          </cell>
          <cell r="D456" t="str">
            <v>-</v>
          </cell>
          <cell r="E456">
            <v>0.11440273193454732</v>
          </cell>
          <cell r="F456">
            <v>0.11441184918810711</v>
          </cell>
          <cell r="G456">
            <v>0.11441791521242412</v>
          </cell>
          <cell r="H456">
            <v>0.11438459183291343</v>
          </cell>
        </row>
        <row r="457">
          <cell r="B457" t="str">
            <v>G-INTC5</v>
          </cell>
          <cell r="C457" t="str">
            <v>VAR_fout</v>
          </cell>
          <cell r="D457" t="str">
            <v>ELC5</v>
          </cell>
          <cell r="E457">
            <v>153.60087077663974</v>
          </cell>
          <cell r="F457">
            <v>120.31968481533903</v>
          </cell>
          <cell r="G457">
            <v>111.85204257293353</v>
          </cell>
          <cell r="H457">
            <v>133.63370621873506</v>
          </cell>
        </row>
        <row r="458">
          <cell r="B458" t="str">
            <v>G-INTC5</v>
          </cell>
          <cell r="C458" t="str">
            <v>VAR_fout</v>
          </cell>
          <cell r="D458" t="str">
            <v>ELC13</v>
          </cell>
          <cell r="E458">
            <v>63.431752171807183</v>
          </cell>
          <cell r="F458">
            <v>2.9964454370518807E-3</v>
          </cell>
          <cell r="G458">
            <v>2.870452307018784E-3</v>
          </cell>
          <cell r="H458">
            <v>2.5038241807287718E-3</v>
          </cell>
        </row>
        <row r="459">
          <cell r="B459" t="str">
            <v>G-INTC5</v>
          </cell>
          <cell r="C459" t="str">
            <v>VAR_fin</v>
          </cell>
          <cell r="D459" t="str">
            <v>ELC35</v>
          </cell>
          <cell r="E459">
            <v>223.88733045301964</v>
          </cell>
          <cell r="F459">
            <v>126.01312044104013</v>
          </cell>
          <cell r="G459">
            <v>116.89058973487786</v>
          </cell>
          <cell r="H459">
            <v>139.14904326550948</v>
          </cell>
        </row>
        <row r="460">
          <cell r="B460" t="str">
            <v>G-INTC5</v>
          </cell>
          <cell r="C460" t="str">
            <v>VAR_ncap</v>
          </cell>
          <cell r="D460" t="str">
            <v>-</v>
          </cell>
          <cell r="E460">
            <v>7.6632637980923701E-7</v>
          </cell>
          <cell r="F460">
            <v>8.5615137282406697E-7</v>
          </cell>
          <cell r="G460">
            <v>9.8112423213520407E-7</v>
          </cell>
          <cell r="H460">
            <v>1.12107165195512E-6</v>
          </cell>
        </row>
        <row r="461">
          <cell r="B461" t="str">
            <v>G-INTC5</v>
          </cell>
          <cell r="C461" t="str">
            <v>VAR_cap</v>
          </cell>
          <cell r="D461" t="str">
            <v>-</v>
          </cell>
          <cell r="E461">
            <v>12.649263788401001</v>
          </cell>
          <cell r="F461">
            <v>12.649263788401001</v>
          </cell>
          <cell r="G461">
            <v>12.649263788401001</v>
          </cell>
          <cell r="H461">
            <v>12.649264558912646</v>
          </cell>
        </row>
        <row r="462">
          <cell r="B462" t="str">
            <v>D-SLFO</v>
          </cell>
          <cell r="C462" t="str">
            <v>VAR_fout</v>
          </cell>
          <cell r="D462" t="str">
            <v>CO2</v>
          </cell>
          <cell r="E462">
            <v>2267.7887470943801</v>
          </cell>
          <cell r="F462">
            <v>2002.1091736533201</v>
          </cell>
          <cell r="G462">
            <v>1876.4082223078899</v>
          </cell>
          <cell r="H462">
            <v>986.85193939226201</v>
          </cell>
        </row>
        <row r="463">
          <cell r="B463" t="str">
            <v>D-SLFO</v>
          </cell>
          <cell r="C463" t="str">
            <v>VAR_fout</v>
          </cell>
          <cell r="D463" t="str">
            <v>SLFO</v>
          </cell>
          <cell r="E463">
            <v>30.256635442975568</v>
          </cell>
          <cell r="F463">
            <v>26.711962241580274</v>
          </cell>
          <cell r="G463">
            <v>25.03492476187715</v>
          </cell>
          <cell r="H463">
            <v>13.166761500761947</v>
          </cell>
        </row>
        <row r="464">
          <cell r="B464" t="str">
            <v>D-SLFO</v>
          </cell>
          <cell r="C464" t="str">
            <v>VAR_fin</v>
          </cell>
          <cell r="D464" t="str">
            <v>LFO</v>
          </cell>
          <cell r="E464">
            <v>30.770539309285983</v>
          </cell>
          <cell r="F464">
            <v>27.165660429488788</v>
          </cell>
          <cell r="G464">
            <v>25.460084427515408</v>
          </cell>
          <cell r="H464">
            <v>13.390121294331909</v>
          </cell>
        </row>
        <row r="465">
          <cell r="B465" t="str">
            <v>D-SLFO</v>
          </cell>
          <cell r="C465" t="str">
            <v>VAR_fin</v>
          </cell>
          <cell r="D465" t="str">
            <v>BDS</v>
          </cell>
          <cell r="G465">
            <v>5.3944557422484368E-5</v>
          </cell>
          <cell r="H465">
            <v>2.7548658544077959E-4</v>
          </cell>
        </row>
        <row r="466">
          <cell r="B466" t="str">
            <v>D-RCOA</v>
          </cell>
          <cell r="C466" t="str">
            <v>VAR_fout</v>
          </cell>
          <cell r="D466" t="str">
            <v>CO2</v>
          </cell>
          <cell r="E466">
            <v>9.2701156909223208</v>
          </cell>
          <cell r="F466">
            <v>9.2700589259654098</v>
          </cell>
          <cell r="G466">
            <v>2.4030201596098801</v>
          </cell>
          <cell r="H466">
            <v>4.3215798674320599E-2</v>
          </cell>
        </row>
        <row r="467">
          <cell r="B467" t="str">
            <v>D-RCOA</v>
          </cell>
          <cell r="C467" t="str">
            <v>VAR_fout</v>
          </cell>
          <cell r="D467" t="str">
            <v>RCOA</v>
          </cell>
          <cell r="E467">
            <v>0.1000012480142646</v>
          </cell>
          <cell r="F467">
            <v>0.10000063566305728</v>
          </cell>
          <cell r="G467">
            <v>2.5922547568607145E-2</v>
          </cell>
          <cell r="H467">
            <v>4.6618984546192637E-4</v>
          </cell>
        </row>
        <row r="468">
          <cell r="B468" t="str">
            <v>D-RCOA</v>
          </cell>
          <cell r="C468" t="str">
            <v>VAR_fin</v>
          </cell>
          <cell r="D468" t="str">
            <v>COA</v>
          </cell>
          <cell r="E468">
            <v>0.1000012480142646</v>
          </cell>
          <cell r="F468">
            <v>0.10000063566305728</v>
          </cell>
          <cell r="G468">
            <v>2.5922547568607145E-2</v>
          </cell>
          <cell r="H468">
            <v>4.6618984546192637E-4</v>
          </cell>
        </row>
        <row r="469">
          <cell r="B469" t="str">
            <v>EHYD-RUN00</v>
          </cell>
          <cell r="C469" t="str">
            <v>VAR_fout</v>
          </cell>
          <cell r="D469" t="str">
            <v>ELC13</v>
          </cell>
          <cell r="E469">
            <v>54.39240118269224</v>
          </cell>
          <cell r="F469">
            <v>43.516190012827963</v>
          </cell>
          <cell r="G469">
            <v>53.242784732541281</v>
          </cell>
          <cell r="H469">
            <v>52.147619245011867</v>
          </cell>
        </row>
        <row r="470">
          <cell r="B470" t="str">
            <v>EHYD-RUN00</v>
          </cell>
          <cell r="C470" t="str">
            <v>VAR_fin</v>
          </cell>
          <cell r="D470" t="str">
            <v>HYDR</v>
          </cell>
          <cell r="E470">
            <v>54.39240118269224</v>
          </cell>
          <cell r="F470">
            <v>43.516190012827963</v>
          </cell>
          <cell r="G470">
            <v>53.242784732541281</v>
          </cell>
          <cell r="H470">
            <v>52.147619245011867</v>
          </cell>
        </row>
        <row r="471">
          <cell r="B471" t="str">
            <v>EHYD-RUN00</v>
          </cell>
          <cell r="C471" t="str">
            <v>VAR_cap</v>
          </cell>
          <cell r="D471" t="str">
            <v>-</v>
          </cell>
          <cell r="E471">
            <v>3.86687</v>
          </cell>
          <cell r="F471">
            <v>3.9240852000672399</v>
          </cell>
          <cell r="G471">
            <v>3.9610124303882599</v>
          </cell>
          <cell r="H471">
            <v>3.9647700000000001</v>
          </cell>
        </row>
        <row r="472">
          <cell r="B472" t="str">
            <v>HPLELCHP</v>
          </cell>
          <cell r="C472" t="str">
            <v>VAR_fout</v>
          </cell>
          <cell r="D472" t="str">
            <v>LTH</v>
          </cell>
          <cell r="F472">
            <v>5.8811261544799898</v>
          </cell>
          <cell r="G472">
            <v>6.0593319029136463</v>
          </cell>
          <cell r="H472">
            <v>10.191924562601322</v>
          </cell>
        </row>
        <row r="473">
          <cell r="B473" t="str">
            <v>HPLELCHP</v>
          </cell>
          <cell r="C473" t="str">
            <v>VAR_fin</v>
          </cell>
          <cell r="D473" t="str">
            <v>ELC35</v>
          </cell>
          <cell r="F473">
            <v>1.9603753848266612</v>
          </cell>
          <cell r="G473">
            <v>2.0197773009712137</v>
          </cell>
          <cell r="H473">
            <v>3.397308187533771</v>
          </cell>
        </row>
        <row r="474">
          <cell r="B474" t="str">
            <v>HPLELCHP</v>
          </cell>
          <cell r="C474" t="str">
            <v>VAR_fin</v>
          </cell>
          <cell r="D474" t="str">
            <v>WWTPCC</v>
          </cell>
          <cell r="F474">
            <v>11.762252308960001</v>
          </cell>
          <cell r="G474">
            <v>12.1186638058273</v>
          </cell>
          <cell r="H474">
            <v>20.383849125202602</v>
          </cell>
        </row>
        <row r="475">
          <cell r="B475" t="str">
            <v>HPLELCHP</v>
          </cell>
          <cell r="C475" t="str">
            <v>VAR_ncap</v>
          </cell>
          <cell r="D475" t="str">
            <v>-</v>
          </cell>
          <cell r="F475">
            <v>0.362214483078099</v>
          </cell>
          <cell r="G475">
            <v>1.0977605730521299E-2</v>
          </cell>
          <cell r="H475">
            <v>0.254412317858901</v>
          </cell>
        </row>
        <row r="476">
          <cell r="B476" t="str">
            <v>HPLELCHP</v>
          </cell>
          <cell r="C476" t="str">
            <v>VAR_cap</v>
          </cell>
          <cell r="D476" t="str">
            <v>-</v>
          </cell>
          <cell r="F476">
            <v>0.362214483078099</v>
          </cell>
          <cell r="G476">
            <v>0.3731917306365875</v>
          </cell>
          <cell r="H476">
            <v>0.62760332529711882</v>
          </cell>
        </row>
        <row r="477">
          <cell r="B477" t="str">
            <v>D-ITOT_LTH</v>
          </cell>
          <cell r="C477" t="str">
            <v>VAR_fout</v>
          </cell>
          <cell r="D477" t="str">
            <v>ITOT_LTH_DH</v>
          </cell>
          <cell r="E477">
            <v>7.1200042364737479</v>
          </cell>
          <cell r="F477">
            <v>7.6289071097869039</v>
          </cell>
          <cell r="G477">
            <v>7.6289069305868145</v>
          </cell>
          <cell r="H477">
            <v>7.6289095875995878</v>
          </cell>
        </row>
        <row r="478">
          <cell r="B478" t="str">
            <v>D-ITOT_LTH</v>
          </cell>
          <cell r="C478" t="str">
            <v>VAR_fin</v>
          </cell>
          <cell r="D478" t="str">
            <v>LTH</v>
          </cell>
          <cell r="E478">
            <v>7.7403402961226719</v>
          </cell>
          <cell r="F478">
            <v>8.2914020854604047</v>
          </cell>
          <cell r="G478">
            <v>8.2881345577585765</v>
          </cell>
          <cell r="H478">
            <v>8.2826976061930022</v>
          </cell>
        </row>
        <row r="479">
          <cell r="B479" t="str">
            <v>D-ITOT_LTH</v>
          </cell>
          <cell r="C479" t="str">
            <v>VAR_ncap</v>
          </cell>
          <cell r="D479" t="str">
            <v>-</v>
          </cell>
          <cell r="E479">
            <v>0.79547248504704304</v>
          </cell>
          <cell r="F479">
            <v>6.3944911911056504E-8</v>
          </cell>
          <cell r="G479">
            <v>7.27124135690645E-8</v>
          </cell>
          <cell r="H479">
            <v>8.2636951457809206E-8</v>
          </cell>
        </row>
        <row r="480">
          <cell r="B480" t="str">
            <v>D-ITOT_LTH</v>
          </cell>
          <cell r="C480" t="str">
            <v>VAR_cap</v>
          </cell>
          <cell r="D480" t="str">
            <v>-</v>
          </cell>
          <cell r="E480">
            <v>0.79547248504704304</v>
          </cell>
          <cell r="F480">
            <v>0.79547254899195496</v>
          </cell>
          <cell r="G480">
            <v>0.79547262170436905</v>
          </cell>
          <cell r="H480">
            <v>0.79547270434132</v>
          </cell>
        </row>
        <row r="481">
          <cell r="B481" t="str">
            <v>D-IH2</v>
          </cell>
          <cell r="C481" t="str">
            <v>VAR_fout</v>
          </cell>
          <cell r="D481" t="str">
            <v>IH2</v>
          </cell>
          <cell r="H481">
            <v>2.2664618590523909E-3</v>
          </cell>
        </row>
        <row r="482">
          <cell r="B482" t="str">
            <v>D-IH2</v>
          </cell>
          <cell r="C482" t="str">
            <v>VAR_fin</v>
          </cell>
          <cell r="D482" t="str">
            <v>H2</v>
          </cell>
          <cell r="H482">
            <v>2.2837286449234493E-3</v>
          </cell>
        </row>
        <row r="483">
          <cell r="B483" t="str">
            <v>D-IH2</v>
          </cell>
          <cell r="C483" t="str">
            <v>VAR_ncap</v>
          </cell>
          <cell r="D483" t="str">
            <v>-</v>
          </cell>
          <cell r="H483">
            <v>3.8529495692720599E-4</v>
          </cell>
        </row>
        <row r="484">
          <cell r="B484" t="str">
            <v>D-IH2</v>
          </cell>
          <cell r="C484" t="str">
            <v>VAR_cap</v>
          </cell>
          <cell r="D484" t="str">
            <v>-</v>
          </cell>
          <cell r="H484">
            <v>3.8529495692720599E-4</v>
          </cell>
        </row>
        <row r="485">
          <cell r="B485" t="str">
            <v>RHEM-ESOLPV</v>
          </cell>
          <cell r="C485" t="str">
            <v>VAR_fout</v>
          </cell>
          <cell r="D485" t="str">
            <v>RHEM_SOL_ELC</v>
          </cell>
          <cell r="E485">
            <v>0.86248322578584768</v>
          </cell>
          <cell r="F485">
            <v>1.2875827182177266</v>
          </cell>
          <cell r="G485">
            <v>1.5142924444093899</v>
          </cell>
          <cell r="H485">
            <v>1.6353589532093489</v>
          </cell>
        </row>
        <row r="486">
          <cell r="B486" t="str">
            <v>RHEM-ESOLPV</v>
          </cell>
          <cell r="C486" t="str">
            <v>VAR_fin</v>
          </cell>
          <cell r="D486" t="str">
            <v>SOL</v>
          </cell>
          <cell r="E486">
            <v>0.86248322578584768</v>
          </cell>
          <cell r="F486">
            <v>1.2875827182177266</v>
          </cell>
          <cell r="G486">
            <v>1.5142924444093899</v>
          </cell>
          <cell r="H486">
            <v>1.6353589532093489</v>
          </cell>
        </row>
        <row r="487">
          <cell r="B487" t="str">
            <v>RHEM-ESOLPV</v>
          </cell>
          <cell r="C487" t="str">
            <v>VAR_fin</v>
          </cell>
          <cell r="D487" t="str">
            <v>SOLPVC</v>
          </cell>
          <cell r="E487">
            <v>0.86248322578584802</v>
          </cell>
          <cell r="F487">
            <v>1.28758271821773</v>
          </cell>
          <cell r="G487">
            <v>1.5142924444093899</v>
          </cell>
          <cell r="H487">
            <v>1.63535895320935</v>
          </cell>
        </row>
        <row r="488">
          <cell r="B488" t="str">
            <v>RHEM-ESOLPV</v>
          </cell>
          <cell r="C488" t="str">
            <v>VAR_ncap</v>
          </cell>
          <cell r="D488" t="str">
            <v>-</v>
          </cell>
          <cell r="F488">
            <v>4.9403555807822698E-8</v>
          </cell>
          <cell r="G488">
            <v>2.33166138203468E-6</v>
          </cell>
          <cell r="H488">
            <v>1.07862304410928E-6</v>
          </cell>
        </row>
        <row r="489">
          <cell r="B489" t="str">
            <v>RHEM-ESOLPV</v>
          </cell>
          <cell r="C489" t="str">
            <v>VAR_cap</v>
          </cell>
          <cell r="D489" t="str">
            <v>-</v>
          </cell>
          <cell r="E489">
            <v>0.27424799999999999</v>
          </cell>
          <cell r="F489">
            <v>0.43894536687996882</v>
          </cell>
          <cell r="G489">
            <v>0.48315038106493785</v>
          </cell>
          <cell r="H489">
            <v>0.47142667194746396</v>
          </cell>
        </row>
        <row r="490">
          <cell r="B490" t="str">
            <v>HPLNUC</v>
          </cell>
          <cell r="C490" t="str">
            <v>VAR_fout</v>
          </cell>
          <cell r="D490" t="str">
            <v>LTH</v>
          </cell>
          <cell r="E490">
            <v>1.4500112719099356</v>
          </cell>
          <cell r="F490">
            <v>3.8018072493950106</v>
          </cell>
          <cell r="G490">
            <v>3.5280786039863865</v>
          </cell>
          <cell r="H490">
            <v>1.0609162088239694</v>
          </cell>
        </row>
        <row r="491">
          <cell r="B491" t="str">
            <v>HPLNUC</v>
          </cell>
          <cell r="C491" t="str">
            <v>VAR_fin</v>
          </cell>
          <cell r="D491" t="str">
            <v>URN</v>
          </cell>
          <cell r="E491">
            <v>1.4500112719099356</v>
          </cell>
          <cell r="F491">
            <v>3.8018072493950106</v>
          </cell>
          <cell r="G491">
            <v>3.5280786039863865</v>
          </cell>
          <cell r="H491">
            <v>1.0609162088239694</v>
          </cell>
        </row>
        <row r="492">
          <cell r="B492" t="str">
            <v>HPLNUC</v>
          </cell>
          <cell r="C492" t="str">
            <v>VAR_cap</v>
          </cell>
          <cell r="D492" t="str">
            <v>-</v>
          </cell>
          <cell r="E492">
            <v>0.120558721922211</v>
          </cell>
          <cell r="F492">
            <v>0.120558721922211</v>
          </cell>
          <cell r="G492">
            <v>0.120558721922211</v>
          </cell>
          <cell r="H492">
            <v>0.11197225056919</v>
          </cell>
        </row>
        <row r="493">
          <cell r="B493" t="str">
            <v>ITOT-CHPWODCCS</v>
          </cell>
          <cell r="C493" t="str">
            <v>VAR_fout</v>
          </cell>
          <cell r="D493" t="str">
            <v>CO2_O</v>
          </cell>
        </row>
        <row r="494">
          <cell r="B494" t="str">
            <v>ITOT-CHPWODCCS</v>
          </cell>
          <cell r="C494" t="str">
            <v>VAR_fout</v>
          </cell>
          <cell r="D494" t="str">
            <v>CO2</v>
          </cell>
        </row>
        <row r="495">
          <cell r="B495" t="str">
            <v>ITOT-CHPWODCCS</v>
          </cell>
          <cell r="C495" t="str">
            <v>VAR_fout</v>
          </cell>
          <cell r="D495" t="str">
            <v>ITOT_LTH_CHP</v>
          </cell>
        </row>
        <row r="496">
          <cell r="B496" t="str">
            <v>ITOT-CHPWODCCS</v>
          </cell>
          <cell r="C496" t="str">
            <v>VAR_fout</v>
          </cell>
          <cell r="D496" t="str">
            <v>ITOT_KEV_WOD_ELC_CHP</v>
          </cell>
        </row>
        <row r="497">
          <cell r="B497" t="str">
            <v>ITOT-CHPWODCCS</v>
          </cell>
          <cell r="C497" t="str">
            <v>VAR_fin</v>
          </cell>
          <cell r="D497" t="str">
            <v>IWOD</v>
          </cell>
        </row>
        <row r="498">
          <cell r="B498" t="str">
            <v>ITOT-CHPWODCCS</v>
          </cell>
          <cell r="C498" t="str">
            <v>VAR_ncap</v>
          </cell>
          <cell r="D498" t="str">
            <v>-</v>
          </cell>
        </row>
        <row r="499">
          <cell r="B499" t="str">
            <v>ITOT-CHPWODCCS</v>
          </cell>
          <cell r="C499" t="str">
            <v>VAR_cap</v>
          </cell>
          <cell r="D499" t="str">
            <v>-</v>
          </cell>
        </row>
        <row r="500">
          <cell r="B500" t="str">
            <v>SUP_WODBIO</v>
          </cell>
          <cell r="C500" t="str">
            <v>VAR_fout</v>
          </cell>
          <cell r="D500" t="str">
            <v>ELC35</v>
          </cell>
          <cell r="F500">
            <v>6.3763934604468176E-6</v>
          </cell>
          <cell r="G500">
            <v>3.9856472883496586E-6</v>
          </cell>
          <cell r="H500">
            <v>1.5617359465300001E-5</v>
          </cell>
        </row>
        <row r="501">
          <cell r="B501" t="str">
            <v>SUP_WODBIO</v>
          </cell>
          <cell r="C501" t="str">
            <v>VAR_fout</v>
          </cell>
          <cell r="D501" t="str">
            <v>BIO</v>
          </cell>
          <cell r="F501">
            <v>1.5940983651117007E-4</v>
          </cell>
          <cell r="G501">
            <v>9.9641182208741425E-5</v>
          </cell>
          <cell r="H501">
            <v>3.9043398663249937E-4</v>
          </cell>
        </row>
        <row r="502">
          <cell r="B502" t="str">
            <v>SUP_WODBIO</v>
          </cell>
          <cell r="C502" t="str">
            <v>VAR_fout</v>
          </cell>
          <cell r="D502" t="str">
            <v>LTH</v>
          </cell>
          <cell r="F502">
            <v>1.9129180381340425E-5</v>
          </cell>
          <cell r="G502">
            <v>1.1956941865048968E-5</v>
          </cell>
          <cell r="H502">
            <v>4.6852078395899952E-5</v>
          </cell>
        </row>
        <row r="503">
          <cell r="B503" t="str">
            <v>SUP_WODBIO</v>
          </cell>
          <cell r="C503" t="str">
            <v>VAR_fin</v>
          </cell>
          <cell r="D503" t="str">
            <v>CWOD</v>
          </cell>
          <cell r="F503">
            <v>2.1520327929007966E-4</v>
          </cell>
          <cell r="G503">
            <v>1.3451559598180095E-4</v>
          </cell>
          <cell r="H503">
            <v>5.2708588195387403E-4</v>
          </cell>
        </row>
        <row r="504">
          <cell r="B504" t="str">
            <v>SUP_WODBIO</v>
          </cell>
          <cell r="C504" t="str">
            <v>VAR_ncap</v>
          </cell>
          <cell r="D504" t="str">
            <v>-</v>
          </cell>
          <cell r="E504">
            <v>9.41865396550269E-7</v>
          </cell>
          <cell r="F504">
            <v>3.31463735536818E-5</v>
          </cell>
          <cell r="G504">
            <v>1.2238697825441199E-6</v>
          </cell>
          <cell r="H504">
            <v>8.1657787236796597E-7</v>
          </cell>
        </row>
        <row r="505">
          <cell r="B505" t="str">
            <v>SUP_WODBIO</v>
          </cell>
          <cell r="C505" t="str">
            <v>VAR_cap</v>
          </cell>
          <cell r="D505" t="str">
            <v>-</v>
          </cell>
          <cell r="E505">
            <v>9.41865396550269E-7</v>
          </cell>
          <cell r="F505">
            <v>3.4010566917500996E-5</v>
          </cell>
          <cell r="G505">
            <v>3.5073398072838189E-5</v>
          </cell>
          <cell r="H505">
            <v>3.5667738582657391E-5</v>
          </cell>
        </row>
        <row r="506">
          <cell r="B506" t="str">
            <v>D-RLFO</v>
          </cell>
          <cell r="C506" t="str">
            <v>VAR_fout</v>
          </cell>
          <cell r="D506" t="str">
            <v>CO2</v>
          </cell>
          <cell r="E506">
            <v>4514.48390889236</v>
          </cell>
          <cell r="F506">
            <v>3846.5271860550502</v>
          </cell>
          <cell r="G506">
            <v>3678.5936123202</v>
          </cell>
          <cell r="H506">
            <v>1737.20452970258</v>
          </cell>
        </row>
        <row r="507">
          <cell r="B507" t="str">
            <v>D-RLFO</v>
          </cell>
          <cell r="C507" t="str">
            <v>VAR_fout</v>
          </cell>
          <cell r="D507" t="str">
            <v>RLFO</v>
          </cell>
          <cell r="E507">
            <v>60.231842150000404</v>
          </cell>
          <cell r="F507">
            <v>51.320023057297085</v>
          </cell>
          <cell r="G507">
            <v>49.079521555877207</v>
          </cell>
          <cell r="H507">
            <v>23.177901209222835</v>
          </cell>
        </row>
        <row r="508">
          <cell r="B508" t="str">
            <v>D-RLFO</v>
          </cell>
          <cell r="C508" t="str">
            <v>VAR_fin</v>
          </cell>
          <cell r="D508" t="str">
            <v>LFO</v>
          </cell>
          <cell r="E508">
            <v>61.254869862854285</v>
          </cell>
          <cell r="F508">
            <v>52.191685021099737</v>
          </cell>
          <cell r="G508">
            <v>49.913074794032575</v>
          </cell>
          <cell r="H508">
            <v>23.571296196778533</v>
          </cell>
        </row>
        <row r="509">
          <cell r="B509" t="str">
            <v>D-RLFO</v>
          </cell>
          <cell r="C509" t="str">
            <v>VAR_fin</v>
          </cell>
          <cell r="D509" t="str">
            <v>BDS</v>
          </cell>
          <cell r="G509">
            <v>5.4152865512685914E-5</v>
          </cell>
          <cell r="H509">
            <v>2.7781738115073031E-4</v>
          </cell>
        </row>
        <row r="510">
          <cell r="B510" t="str">
            <v>G-INTC-EXP00-IT</v>
          </cell>
          <cell r="C510" t="str">
            <v>VAR_fout</v>
          </cell>
          <cell r="D510" t="str">
            <v>ELC_E-IT</v>
          </cell>
          <cell r="E510">
            <v>71.694108845295574</v>
          </cell>
          <cell r="F510">
            <v>35.114100580975446</v>
          </cell>
          <cell r="G510">
            <v>72.937318826003377</v>
          </cell>
          <cell r="H510">
            <v>69.548453273796468</v>
          </cell>
        </row>
        <row r="511">
          <cell r="B511" t="str">
            <v>G-INTC-EXP00-IT</v>
          </cell>
          <cell r="C511" t="str">
            <v>VAR_fin</v>
          </cell>
          <cell r="D511" t="str">
            <v>ELC</v>
          </cell>
          <cell r="E511">
            <v>71.694108845295574</v>
          </cell>
          <cell r="F511">
            <v>35.114100580975446</v>
          </cell>
          <cell r="G511">
            <v>72.937318826003377</v>
          </cell>
          <cell r="H511">
            <v>69.548453273796468</v>
          </cell>
        </row>
        <row r="512">
          <cell r="B512" t="str">
            <v>G-INTC-EXP00-IT</v>
          </cell>
          <cell r="C512" t="str">
            <v>VAR_ncap</v>
          </cell>
          <cell r="D512" t="str">
            <v>-</v>
          </cell>
          <cell r="E512">
            <v>2.5895465985054002E-6</v>
          </cell>
          <cell r="F512">
            <v>2.1556837781768001E-6</v>
          </cell>
          <cell r="G512">
            <v>1.74746495392979E-6</v>
          </cell>
          <cell r="H512">
            <v>1.5265700063295599E-6</v>
          </cell>
        </row>
        <row r="513">
          <cell r="B513" t="str">
            <v>G-INTC-EXP00-IT</v>
          </cell>
          <cell r="C513" t="str">
            <v>VAR_cap</v>
          </cell>
          <cell r="D513" t="str">
            <v>-</v>
          </cell>
          <cell r="E513">
            <v>3.749998825751792</v>
          </cell>
          <cell r="F513">
            <v>3.7499976199159546</v>
          </cell>
          <cell r="G513">
            <v>3.7499970938996419</v>
          </cell>
          <cell r="H513">
            <v>3.7499988383860856</v>
          </cell>
        </row>
        <row r="514">
          <cell r="B514" t="str">
            <v>EWOD-CCS</v>
          </cell>
          <cell r="C514" t="str">
            <v>VAR_fout</v>
          </cell>
          <cell r="D514" t="str">
            <v>CO2_O</v>
          </cell>
        </row>
        <row r="515">
          <cell r="B515" t="str">
            <v>EWOD-CCS</v>
          </cell>
          <cell r="C515" t="str">
            <v>VAR_fout</v>
          </cell>
          <cell r="D515" t="str">
            <v>CO2</v>
          </cell>
        </row>
        <row r="516">
          <cell r="B516" t="str">
            <v>EWOD-CCS</v>
          </cell>
          <cell r="C516" t="str">
            <v>VAR_fout</v>
          </cell>
          <cell r="D516" t="str">
            <v>ELC13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</row>
        <row r="518">
          <cell r="B518" t="str">
            <v>EWOD-CCS</v>
          </cell>
          <cell r="C518" t="str">
            <v>VAR_ncap</v>
          </cell>
          <cell r="D518" t="str">
            <v>-</v>
          </cell>
        </row>
        <row r="519">
          <cell r="B519" t="str">
            <v>EWOD-CCS</v>
          </cell>
          <cell r="C519" t="str">
            <v>VAR_cap</v>
          </cell>
          <cell r="D519" t="str">
            <v>-</v>
          </cell>
        </row>
        <row r="520">
          <cell r="B520" t="str">
            <v>EOIL-ENG</v>
          </cell>
          <cell r="C520" t="str">
            <v>VAR_fout</v>
          </cell>
          <cell r="D520" t="str">
            <v>ELC35</v>
          </cell>
          <cell r="E520">
            <v>3.9602117544484207E-2</v>
          </cell>
          <cell r="F520">
            <v>1.5129515172678207E-4</v>
          </cell>
          <cell r="G520">
            <v>3.6958027479708595E-3</v>
          </cell>
          <cell r="H520">
            <v>6.7804312634714068E-4</v>
          </cell>
        </row>
        <row r="521">
          <cell r="B521" t="str">
            <v>EOIL-ENG</v>
          </cell>
          <cell r="C521" t="str">
            <v>VAR_fout</v>
          </cell>
          <cell r="D521" t="str">
            <v>CO2_E</v>
          </cell>
          <cell r="E521">
            <v>9.2597320025672492</v>
          </cell>
          <cell r="F521">
            <v>0.103329360359774</v>
          </cell>
          <cell r="G521">
            <v>0.91488341587556599</v>
          </cell>
          <cell r="H521">
            <v>0.19965465407808899</v>
          </cell>
        </row>
        <row r="522">
          <cell r="B522" t="str">
            <v>EOIL-ENG</v>
          </cell>
          <cell r="C522" t="str">
            <v>VAR_fin</v>
          </cell>
          <cell r="D522" t="str">
            <v>ELFO</v>
          </cell>
          <cell r="E522">
            <v>0.12564086842017971</v>
          </cell>
          <cell r="F522">
            <v>1.4020265991828238E-3</v>
          </cell>
          <cell r="G522">
            <v>1.241361486941066E-2</v>
          </cell>
          <cell r="H522">
            <v>2.7090183728370261E-3</v>
          </cell>
        </row>
        <row r="523">
          <cell r="B523" t="str">
            <v>EOIL-ENG</v>
          </cell>
          <cell r="C523" t="str">
            <v>VAR_ncap</v>
          </cell>
          <cell r="D523" t="str">
            <v>-</v>
          </cell>
          <cell r="F523">
            <v>9.9580250205404594E-6</v>
          </cell>
          <cell r="G523">
            <v>1.87075700387534E-4</v>
          </cell>
          <cell r="H523">
            <v>2.99934486212485E-2</v>
          </cell>
        </row>
        <row r="524">
          <cell r="B524" t="str">
            <v>EOIL-ENG</v>
          </cell>
          <cell r="C524" t="str">
            <v>VAR_cap</v>
          </cell>
          <cell r="D524" t="str">
            <v>-</v>
          </cell>
          <cell r="E524">
            <v>2.0373562600045303E-2</v>
          </cell>
          <cell r="F524">
            <v>1.9302959985420851E-2</v>
          </cell>
          <cell r="G524">
            <v>1.0947053177234274E-2</v>
          </cell>
          <cell r="H524">
            <v>3.7187376708758602E-2</v>
          </cell>
        </row>
        <row r="525">
          <cell r="B525" t="str">
            <v>D-SWOD</v>
          </cell>
          <cell r="C525" t="str">
            <v>VAR_fout</v>
          </cell>
          <cell r="D525" t="str">
            <v>SWOD</v>
          </cell>
          <cell r="E525">
            <v>8.5743701770305147</v>
          </cell>
          <cell r="F525">
            <v>9.2007421364112503</v>
          </cell>
          <cell r="G525">
            <v>11.047769280368991</v>
          </cell>
          <cell r="H525">
            <v>10.73008936713881</v>
          </cell>
        </row>
        <row r="526">
          <cell r="B526" t="str">
            <v>D-SWOD</v>
          </cell>
          <cell r="C526" t="str">
            <v>VAR_fin</v>
          </cell>
          <cell r="D526" t="str">
            <v>WOD</v>
          </cell>
          <cell r="E526">
            <v>8.5743701770305147</v>
          </cell>
          <cell r="F526">
            <v>9.2007421364112503</v>
          </cell>
          <cell r="G526">
            <v>11.047769280368991</v>
          </cell>
          <cell r="H526">
            <v>10.73008936713881</v>
          </cell>
        </row>
        <row r="527">
          <cell r="B527" t="str">
            <v>SCOM-CHPWOD</v>
          </cell>
          <cell r="C527" t="str">
            <v>VAR_ncap</v>
          </cell>
          <cell r="D527" t="str">
            <v>-</v>
          </cell>
          <cell r="H527">
            <v>1.4402156472393201E-5</v>
          </cell>
        </row>
        <row r="528">
          <cell r="B528" t="str">
            <v>SCOM-CHPWOD</v>
          </cell>
          <cell r="C528" t="str">
            <v>VAR_cap</v>
          </cell>
          <cell r="D528" t="str">
            <v>-</v>
          </cell>
          <cell r="H528">
            <v>1.4402156472393201E-5</v>
          </cell>
        </row>
        <row r="529">
          <cell r="B529" t="str">
            <v>ENUC_BMGL</v>
          </cell>
          <cell r="C529" t="str">
            <v>VAR_fout</v>
          </cell>
          <cell r="D529" t="str">
            <v>ELC</v>
          </cell>
          <cell r="E529">
            <v>32.820800838280277</v>
          </cell>
          <cell r="F529">
            <v>32.820794096861469</v>
          </cell>
          <cell r="G529">
            <v>32.820790643341454</v>
          </cell>
          <cell r="H529">
            <v>32.820796789771286</v>
          </cell>
        </row>
        <row r="530">
          <cell r="B530" t="str">
            <v>ENUC_BMGL</v>
          </cell>
          <cell r="C530" t="str">
            <v>VAR_fin</v>
          </cell>
          <cell r="D530" t="str">
            <v>URN</v>
          </cell>
          <cell r="E530">
            <v>98.94550193384282</v>
          </cell>
          <cell r="F530">
            <v>98.94548161035749</v>
          </cell>
          <cell r="G530">
            <v>98.945471198964015</v>
          </cell>
          <cell r="H530">
            <v>98.945489728724766</v>
          </cell>
        </row>
        <row r="531">
          <cell r="B531" t="str">
            <v>ENUC_BMGL</v>
          </cell>
          <cell r="C531" t="str">
            <v>VAR_cap</v>
          </cell>
          <cell r="D531" t="str">
            <v>-</v>
          </cell>
          <cell r="E531">
            <v>1.2199999847709087</v>
          </cell>
          <cell r="F531">
            <v>1.2199999432429443</v>
          </cell>
          <cell r="G531">
            <v>1.2199999251919542</v>
          </cell>
          <cell r="H531">
            <v>1.2199999427756121</v>
          </cell>
        </row>
        <row r="532">
          <cell r="B532" t="str">
            <v>ENGA-GTOC</v>
          </cell>
          <cell r="C532" t="str">
            <v>VAR_fout</v>
          </cell>
          <cell r="D532" t="str">
            <v>ELC13</v>
          </cell>
        </row>
        <row r="533">
          <cell r="B533" t="str">
            <v>ENGA-GTOC</v>
          </cell>
          <cell r="C533" t="str">
            <v>VAR_fout</v>
          </cell>
          <cell r="D533" t="str">
            <v>CO2_E</v>
          </cell>
        </row>
        <row r="534">
          <cell r="B534" t="str">
            <v>ENGA-GTOC</v>
          </cell>
          <cell r="C534" t="str">
            <v>VAR_fin</v>
          </cell>
          <cell r="D534" t="str">
            <v>ENGA</v>
          </cell>
        </row>
        <row r="535">
          <cell r="B535" t="str">
            <v>ENGA-GTOC</v>
          </cell>
          <cell r="C535" t="str">
            <v>VAR_fin</v>
          </cell>
          <cell r="D535" t="str">
            <v>GTC</v>
          </cell>
        </row>
        <row r="536">
          <cell r="B536" t="str">
            <v>ENGA-GTOC</v>
          </cell>
          <cell r="C536" t="str">
            <v>VAR_ncap</v>
          </cell>
          <cell r="D536" t="str">
            <v>-</v>
          </cell>
        </row>
        <row r="537">
          <cell r="B537" t="str">
            <v>ENGA-GTOC</v>
          </cell>
          <cell r="C537" t="str">
            <v>VAR_cap</v>
          </cell>
          <cell r="D537" t="str">
            <v>-</v>
          </cell>
        </row>
        <row r="538">
          <cell r="B538" t="str">
            <v>D-RWOD</v>
          </cell>
          <cell r="C538" t="str">
            <v>VAR_fout</v>
          </cell>
          <cell r="D538" t="str">
            <v>RWOD</v>
          </cell>
          <cell r="E538">
            <v>13.723005628793967</v>
          </cell>
          <cell r="F538">
            <v>14.19086275391148</v>
          </cell>
          <cell r="G538">
            <v>17.688531901298944</v>
          </cell>
          <cell r="H538">
            <v>15.818689887430915</v>
          </cell>
        </row>
        <row r="539">
          <cell r="B539" t="str">
            <v>D-RWOD</v>
          </cell>
          <cell r="C539" t="str">
            <v>VAR_fin</v>
          </cell>
          <cell r="D539" t="str">
            <v>WOD</v>
          </cell>
          <cell r="E539">
            <v>13.723005628793967</v>
          </cell>
          <cell r="F539">
            <v>14.19086275391148</v>
          </cell>
          <cell r="G539">
            <v>17.688531901298944</v>
          </cell>
          <cell r="H539">
            <v>15.818689887430915</v>
          </cell>
        </row>
        <row r="540">
          <cell r="B540" t="str">
            <v>CHPOIL</v>
          </cell>
          <cell r="C540" t="str">
            <v>VAR_fout</v>
          </cell>
          <cell r="D540" t="str">
            <v>ELC35</v>
          </cell>
          <cell r="E540">
            <v>1.8014121264497893E-3</v>
          </cell>
          <cell r="F540">
            <v>1.1850233977799911E-4</v>
          </cell>
          <cell r="G540">
            <v>6.9356284553894192E-4</v>
          </cell>
          <cell r="H540">
            <v>9.4202712902187523E-4</v>
          </cell>
        </row>
        <row r="541">
          <cell r="B541" t="str">
            <v>CHPOIL</v>
          </cell>
          <cell r="C541" t="str">
            <v>VAR_fout</v>
          </cell>
          <cell r="D541" t="str">
            <v>LTH</v>
          </cell>
          <cell r="E541">
            <v>9.2644052217417672E-3</v>
          </cell>
          <cell r="F541">
            <v>6.0944060457256664E-4</v>
          </cell>
          <cell r="G541">
            <v>3.566894634200271E-3</v>
          </cell>
          <cell r="H541">
            <v>4.8447109492553552E-3</v>
          </cell>
        </row>
        <row r="542">
          <cell r="B542" t="str">
            <v>CHPOIL</v>
          </cell>
          <cell r="C542" t="str">
            <v>VAR_fout</v>
          </cell>
          <cell r="D542" t="str">
            <v>CO2_E</v>
          </cell>
          <cell r="E542">
            <v>1.7713436675551699</v>
          </cell>
          <cell r="F542">
            <v>0.15118955893927399</v>
          </cell>
          <cell r="G542">
            <v>0.55109508780113503</v>
          </cell>
          <cell r="H542">
            <v>0.68998366741883099</v>
          </cell>
        </row>
        <row r="543">
          <cell r="B543" t="str">
            <v>CHPOIL</v>
          </cell>
          <cell r="C543" t="str">
            <v>VAR_fin</v>
          </cell>
          <cell r="D543" t="str">
            <v>ELFO</v>
          </cell>
          <cell r="E543">
            <v>2.4034513806718772E-2</v>
          </cell>
          <cell r="F543">
            <v>2.0514187101665421E-3</v>
          </cell>
          <cell r="G543">
            <v>7.4775452890249007E-3</v>
          </cell>
          <cell r="H543">
            <v>9.3620579025621604E-3</v>
          </cell>
        </row>
        <row r="544">
          <cell r="B544" t="str">
            <v>CHPOIL</v>
          </cell>
          <cell r="C544" t="str">
            <v>VAR_ncap</v>
          </cell>
          <cell r="D544" t="str">
            <v>-</v>
          </cell>
          <cell r="F544">
            <v>3.0878581210042501E-6</v>
          </cell>
          <cell r="G544">
            <v>4.1169512583816897E-6</v>
          </cell>
          <cell r="H544">
            <v>5.2331230097848597E-6</v>
          </cell>
        </row>
        <row r="545">
          <cell r="B545" t="str">
            <v>CHPOIL</v>
          </cell>
          <cell r="C545" t="str">
            <v>VAR_cap</v>
          </cell>
          <cell r="D545" t="str">
            <v>-</v>
          </cell>
          <cell r="E545">
            <v>9.5312583952047898E-3</v>
          </cell>
          <cell r="F545">
            <v>1.4283683659880447E-3</v>
          </cell>
          <cell r="G545">
            <v>1.359134161065376E-3</v>
          </cell>
          <cell r="H545">
            <v>1.2224088039710212E-3</v>
          </cell>
        </row>
        <row r="546">
          <cell r="B546" t="str">
            <v>CHPHFC</v>
          </cell>
          <cell r="C546" t="str">
            <v>VAR_fout</v>
          </cell>
          <cell r="D546" t="str">
            <v>ELC35</v>
          </cell>
        </row>
        <row r="547">
          <cell r="B547" t="str">
            <v>CHPHFC</v>
          </cell>
          <cell r="C547" t="str">
            <v>VAR_fout</v>
          </cell>
          <cell r="D547" t="str">
            <v>LTH</v>
          </cell>
        </row>
        <row r="548">
          <cell r="B548" t="str">
            <v>CHPHFC</v>
          </cell>
          <cell r="C548" t="str">
            <v>VAR_fin</v>
          </cell>
          <cell r="D548" t="str">
            <v>EH2</v>
          </cell>
        </row>
        <row r="549">
          <cell r="B549" t="str">
            <v>CHPHFC</v>
          </cell>
          <cell r="C549" t="str">
            <v>VAR_ncap</v>
          </cell>
          <cell r="D549" t="str">
            <v>-</v>
          </cell>
        </row>
        <row r="550">
          <cell r="B550" t="str">
            <v>CHPHFC</v>
          </cell>
          <cell r="C550" t="str">
            <v>VAR_cap</v>
          </cell>
          <cell r="D550" t="str">
            <v>-</v>
          </cell>
        </row>
        <row r="551">
          <cell r="B551" t="str">
            <v>ITOT-ESOLPV</v>
          </cell>
          <cell r="C551" t="str">
            <v>VAR_fout</v>
          </cell>
          <cell r="D551" t="str">
            <v>ITOT_SOL_ELC</v>
          </cell>
          <cell r="E551">
            <v>3.517953999707534</v>
          </cell>
          <cell r="F551">
            <v>4.8486224103667395</v>
          </cell>
          <cell r="G551">
            <v>11.161490481896006</v>
          </cell>
          <cell r="H551">
            <v>19.477119999127183</v>
          </cell>
        </row>
        <row r="552">
          <cell r="B552" t="str">
            <v>ITOT-ESOLPV</v>
          </cell>
          <cell r="C552" t="str">
            <v>VAR_fin</v>
          </cell>
          <cell r="D552" t="str">
            <v>SOL</v>
          </cell>
          <cell r="E552">
            <v>3.517953999707534</v>
          </cell>
          <cell r="F552">
            <v>4.8486224103667395</v>
          </cell>
          <cell r="G552">
            <v>11.161490481896006</v>
          </cell>
          <cell r="H552">
            <v>19.477119999127183</v>
          </cell>
        </row>
        <row r="553">
          <cell r="B553" t="str">
            <v>ITOT-ESOLPV</v>
          </cell>
          <cell r="C553" t="str">
            <v>VAR_fin</v>
          </cell>
          <cell r="D553" t="str">
            <v>SOLPVC</v>
          </cell>
          <cell r="E553">
            <v>3.51795399970753</v>
          </cell>
          <cell r="F553">
            <v>4.8486224103667404</v>
          </cell>
          <cell r="G553">
            <v>11.161490481895999</v>
          </cell>
          <cell r="H553">
            <v>19.477119999127201</v>
          </cell>
        </row>
        <row r="554">
          <cell r="B554" t="str">
            <v>ITOT-ESOLPV</v>
          </cell>
          <cell r="C554" t="str">
            <v>VAR_ncap</v>
          </cell>
          <cell r="D554" t="str">
            <v>-</v>
          </cell>
          <cell r="F554">
            <v>6.5489665167177796E-8</v>
          </cell>
          <cell r="G554">
            <v>1.76796411068875</v>
          </cell>
          <cell r="H554">
            <v>2.1224169188782902</v>
          </cell>
        </row>
        <row r="555">
          <cell r="B555" t="str">
            <v>ITOT-ESOLPV</v>
          </cell>
          <cell r="C555" t="str">
            <v>VAR_cap</v>
          </cell>
          <cell r="D555" t="str">
            <v>-</v>
          </cell>
          <cell r="E555">
            <v>1.1186210000000001</v>
          </cell>
          <cell r="F555">
            <v>1.6529270800767153</v>
          </cell>
          <cell r="G555">
            <v>3.5611851761784199</v>
          </cell>
          <cell r="H555">
            <v>5.6146861982526</v>
          </cell>
        </row>
        <row r="556">
          <cell r="B556" t="str">
            <v>RHNS-CHPNGA</v>
          </cell>
          <cell r="C556" t="str">
            <v>VAR_fout</v>
          </cell>
          <cell r="D556" t="str">
            <v>CO2_R</v>
          </cell>
          <cell r="F556">
            <v>0.66264847394487403</v>
          </cell>
          <cell r="G556">
            <v>0.93276653660862696</v>
          </cell>
        </row>
        <row r="557">
          <cell r="B557" t="str">
            <v>RHNS-CHPNGA</v>
          </cell>
          <cell r="C557" t="str">
            <v>VAR_fout</v>
          </cell>
          <cell r="D557" t="str">
            <v>RHNS_LTH_CHPNGA</v>
          </cell>
          <cell r="F557">
            <v>7.514826782415043E-3</v>
          </cell>
          <cell r="G557">
            <v>7.4707812636504991E-3</v>
          </cell>
        </row>
        <row r="558">
          <cell r="B558" t="str">
            <v>RHNS-CHPNGA</v>
          </cell>
          <cell r="C558" t="str">
            <v>VAR_fout</v>
          </cell>
          <cell r="D558" t="str">
            <v>RHNS_NKEV_GAS_ELC_CHP</v>
          </cell>
          <cell r="F558">
            <v>3.1534242048766449E-3</v>
          </cell>
          <cell r="G558">
            <v>3.1837151270122711E-3</v>
          </cell>
        </row>
        <row r="559">
          <cell r="B559" t="str">
            <v>RHNS-CHPNGA</v>
          </cell>
          <cell r="C559" t="str">
            <v>VAR_fin</v>
          </cell>
          <cell r="D559" t="str">
            <v>RNGA</v>
          </cell>
          <cell r="F559">
            <v>1.1749086417462319E-2</v>
          </cell>
          <cell r="G559">
            <v>1.6538413769656483E-2</v>
          </cell>
        </row>
        <row r="560">
          <cell r="B560" t="str">
            <v>RHNS-CHPNGA</v>
          </cell>
          <cell r="C560" t="str">
            <v>VAR_ncap</v>
          </cell>
          <cell r="D560" t="str">
            <v>-</v>
          </cell>
          <cell r="F560">
            <v>9.5218016776491704E-4</v>
          </cell>
        </row>
        <row r="561">
          <cell r="B561" t="str">
            <v>RHNS-CHPNGA</v>
          </cell>
          <cell r="C561" t="str">
            <v>VAR_cap</v>
          </cell>
          <cell r="D561" t="str">
            <v>-</v>
          </cell>
          <cell r="F561">
            <v>9.5218016776491704E-4</v>
          </cell>
          <cell r="G561">
            <v>9.5218016776491704E-4</v>
          </cell>
          <cell r="H561">
            <v>9.5112371262968422E-4</v>
          </cell>
        </row>
        <row r="562">
          <cell r="B562" t="str">
            <v>ENUC_BEZ</v>
          </cell>
          <cell r="C562" t="str">
            <v>VAR_fout</v>
          </cell>
          <cell r="D562" t="str">
            <v>ELC</v>
          </cell>
          <cell r="E562">
            <v>20.224801058528897</v>
          </cell>
          <cell r="F562">
            <v>20.22478848302552</v>
          </cell>
          <cell r="G562">
            <v>13.566669062828076</v>
          </cell>
          <cell r="H562">
            <v>7.3992009829555716</v>
          </cell>
        </row>
        <row r="563">
          <cell r="B563" t="str">
            <v>ENUC_BEZ</v>
          </cell>
          <cell r="C563" t="str">
            <v>VAR_fin</v>
          </cell>
          <cell r="D563" t="str">
            <v>URN</v>
          </cell>
          <cell r="E563">
            <v>60.97209821626987</v>
          </cell>
          <cell r="F563">
            <v>60.972060304657056</v>
          </cell>
          <cell r="G563">
            <v>40.899699145250892</v>
          </cell>
          <cell r="H563">
            <v>22.306514054161109</v>
          </cell>
        </row>
        <row r="564">
          <cell r="B564" t="str">
            <v>ENUC_BEZ</v>
          </cell>
          <cell r="C564" t="str">
            <v>VAR_cap</v>
          </cell>
          <cell r="D564" t="str">
            <v>-</v>
          </cell>
          <cell r="E564">
            <v>0.7299999705318867</v>
          </cell>
          <cell r="F564">
            <v>0.72999973602624912</v>
          </cell>
          <cell r="G564">
            <v>0.48968198702778576</v>
          </cell>
          <cell r="H564">
            <v>0.26706916253409613</v>
          </cell>
        </row>
        <row r="565">
          <cell r="B565" t="str">
            <v>RHNM-CHPWOD</v>
          </cell>
          <cell r="C565" t="str">
            <v>VAR_ncap</v>
          </cell>
          <cell r="D565" t="str">
            <v>-</v>
          </cell>
          <cell r="H565">
            <v>6.7784591726521697E-6</v>
          </cell>
        </row>
        <row r="566">
          <cell r="B566" t="str">
            <v>RHNM-CHPWOD</v>
          </cell>
          <cell r="C566" t="str">
            <v>VAR_cap</v>
          </cell>
          <cell r="D566" t="str">
            <v>-</v>
          </cell>
          <cell r="H566">
            <v>6.7784591726521697E-6</v>
          </cell>
        </row>
        <row r="567">
          <cell r="B567" t="str">
            <v>RHNM-SHSTG-CHPNGA</v>
          </cell>
          <cell r="C567" t="str">
            <v>VAR_fout</v>
          </cell>
          <cell r="D567" t="str">
            <v>AUX_RNM-CHPNGA_OUT</v>
          </cell>
          <cell r="E567">
            <v>2.0947300323223062E-4</v>
          </cell>
          <cell r="F567">
            <v>5.6422995611355852E-4</v>
          </cell>
          <cell r="G567">
            <v>1.8735890001567505E-2</v>
          </cell>
          <cell r="H567">
            <v>9.7495692740453855E-5</v>
          </cell>
        </row>
        <row r="568">
          <cell r="B568" t="str">
            <v>RHNM-SHSTG-CHPNGA</v>
          </cell>
          <cell r="C568" t="str">
            <v>VAR_fout</v>
          </cell>
          <cell r="D568" t="str">
            <v>RHNM_LTH_CHPNGA</v>
          </cell>
          <cell r="E568">
            <v>2.0947300323223E-4</v>
          </cell>
          <cell r="F568">
            <v>5.646061094176331E-4</v>
          </cell>
          <cell r="G568">
            <v>1.8755406553652442E-2</v>
          </cell>
          <cell r="H568">
            <v>9.7495692740453855E-5</v>
          </cell>
        </row>
        <row r="569">
          <cell r="B569" t="str">
            <v>RHNM-SHSTG-CHPNGA</v>
          </cell>
          <cell r="C569" t="str">
            <v>VAR_fin</v>
          </cell>
          <cell r="D569" t="str">
            <v>AUX_RNM-CHPNGA_IN</v>
          </cell>
          <cell r="E569">
            <v>1.6632470385022415E-4</v>
          </cell>
          <cell r="F569">
            <v>7.4224082650686677E-4</v>
          </cell>
          <cell r="G569">
            <v>2.4199465466915458E-2</v>
          </cell>
          <cell r="H569">
            <v>7.6556124835163979E-5</v>
          </cell>
        </row>
        <row r="570">
          <cell r="B570" t="str">
            <v>RHNM-SHSTG-CHPNGA</v>
          </cell>
          <cell r="C570" t="str">
            <v>VAR_fin</v>
          </cell>
          <cell r="D570" t="str">
            <v>RHNM_LTH_CHPNGA</v>
          </cell>
          <cell r="E570">
            <v>1.6632470385022415E-4</v>
          </cell>
          <cell r="F570">
            <v>7.4224082650686677E-4</v>
          </cell>
          <cell r="G570">
            <v>2.4199465466915458E-2</v>
          </cell>
          <cell r="H570">
            <v>7.6556124835163979E-5</v>
          </cell>
        </row>
        <row r="571">
          <cell r="B571" t="str">
            <v>RHNM-SHSTG-CHPNGA</v>
          </cell>
          <cell r="C571" t="str">
            <v>VAR_ncap</v>
          </cell>
          <cell r="D571" t="str">
            <v>-</v>
          </cell>
          <cell r="E571">
            <v>3.3369293662760301E-3</v>
          </cell>
          <cell r="F571">
            <v>9.7841682916768397E-5</v>
          </cell>
          <cell r="G571">
            <v>5.48948144703832E-5</v>
          </cell>
          <cell r="H571">
            <v>2.7359901424914002E-5</v>
          </cell>
        </row>
        <row r="572">
          <cell r="B572" t="str">
            <v>RHNM-SHSTG-CHPNGA</v>
          </cell>
          <cell r="C572" t="str">
            <v>VAR_cap</v>
          </cell>
          <cell r="D572" t="str">
            <v>-</v>
          </cell>
          <cell r="E572">
            <v>3.3369293662760301E-3</v>
          </cell>
          <cell r="F572">
            <v>3.4291288950824665E-3</v>
          </cell>
          <cell r="G572">
            <v>3.4633087854634109E-3</v>
          </cell>
          <cell r="H572">
            <v>3.353598734588467E-3</v>
          </cell>
        </row>
        <row r="573">
          <cell r="B573" t="str">
            <v>CT_CWODBDS</v>
          </cell>
          <cell r="C573" t="str">
            <v>VAR_fout</v>
          </cell>
          <cell r="D573" t="str">
            <v>BDS</v>
          </cell>
          <cell r="E573">
            <v>0.65785016631984039</v>
          </cell>
          <cell r="F573">
            <v>0.63740653135513703</v>
          </cell>
          <cell r="G573">
            <v>0.63735186741482475</v>
          </cell>
          <cell r="H573">
            <v>1.1874899853890362E-4</v>
          </cell>
        </row>
        <row r="574">
          <cell r="B574" t="str">
            <v>CT_CWODBDS</v>
          </cell>
          <cell r="C574" t="str">
            <v>VAR_fout</v>
          </cell>
          <cell r="D574" t="str">
            <v>LTH</v>
          </cell>
          <cell r="E574">
            <v>0.25656156486473763</v>
          </cell>
          <cell r="F574">
            <v>0.2485885472285031</v>
          </cell>
          <cell r="G574">
            <v>0.24856722829178118</v>
          </cell>
          <cell r="H574">
            <v>4.6312109430172423E-5</v>
          </cell>
        </row>
        <row r="575">
          <cell r="B575" t="str">
            <v>CT_CWODBDS</v>
          </cell>
          <cell r="C575" t="str">
            <v>VAR_fin</v>
          </cell>
          <cell r="D575" t="str">
            <v>CWOD</v>
          </cell>
          <cell r="E575">
            <v>1.874544048928384</v>
          </cell>
          <cell r="F575">
            <v>1.8162899110964612</v>
          </cell>
          <cell r="G575">
            <v>1.8161341461985421</v>
          </cell>
          <cell r="H575">
            <v>3.3837527133660582E-4</v>
          </cell>
        </row>
        <row r="576">
          <cell r="B576" t="str">
            <v>CT_CWODBDS</v>
          </cell>
          <cell r="C576" t="str">
            <v>VAR_fin</v>
          </cell>
          <cell r="D576" t="str">
            <v>CELC</v>
          </cell>
          <cell r="E576">
            <v>4.57205865592289E-2</v>
          </cell>
          <cell r="F576">
            <v>4.4299753929182013E-2</v>
          </cell>
          <cell r="G576">
            <v>4.4295954785330285E-2</v>
          </cell>
          <cell r="H576">
            <v>8.2530553984537979E-6</v>
          </cell>
        </row>
        <row r="577">
          <cell r="B577" t="str">
            <v>CT_CWODBDS</v>
          </cell>
          <cell r="C577" t="str">
            <v>VAR_ncap</v>
          </cell>
          <cell r="D577" t="str">
            <v>-</v>
          </cell>
          <cell r="E577">
            <v>3.2669331616104403E-7</v>
          </cell>
          <cell r="F577">
            <v>2.1303919525828499E-7</v>
          </cell>
          <cell r="G577">
            <v>2.1490911231977499E-7</v>
          </cell>
          <cell r="H577">
            <v>2.8583676473777601E-7</v>
          </cell>
        </row>
        <row r="578">
          <cell r="B578" t="str">
            <v>CT_CWODBDS</v>
          </cell>
          <cell r="C578" t="str">
            <v>VAR_cap</v>
          </cell>
          <cell r="D578" t="str">
            <v>-</v>
          </cell>
          <cell r="E578">
            <v>3.4113391902011764E-2</v>
          </cell>
          <cell r="F578">
            <v>3.3052906183228023E-2</v>
          </cell>
          <cell r="G578">
            <v>3.3050368697991737E-2</v>
          </cell>
          <cell r="H578">
            <v>5.341989957807769E-5</v>
          </cell>
        </row>
        <row r="579">
          <cell r="B579" t="str">
            <v>RHNS-EBAT</v>
          </cell>
          <cell r="C579" t="str">
            <v>VAR_fout</v>
          </cell>
          <cell r="D579" t="str">
            <v>RHNS_ELC</v>
          </cell>
          <cell r="E579">
            <v>1.6022045028858025E-3</v>
          </cell>
          <cell r="F579">
            <v>1.5988694639262823E-3</v>
          </cell>
          <cell r="G579">
            <v>8.2662265011920311E-2</v>
          </cell>
          <cell r="H579">
            <v>0.18634583611068037</v>
          </cell>
        </row>
        <row r="580">
          <cell r="B580" t="str">
            <v>RHNS-EBAT</v>
          </cell>
          <cell r="C580" t="str">
            <v>VAR_fout</v>
          </cell>
          <cell r="D580" t="str">
            <v>AUX_RHNS-EBAT_OUT</v>
          </cell>
          <cell r="E580">
            <v>1.6022045028858045E-3</v>
          </cell>
          <cell r="F580">
            <v>1.5988694639262836E-3</v>
          </cell>
          <cell r="G580">
            <v>8.2662265011920394E-2</v>
          </cell>
          <cell r="H580">
            <v>0.18634583611068051</v>
          </cell>
        </row>
        <row r="581">
          <cell r="B581" t="str">
            <v>RHNS-EBAT</v>
          </cell>
          <cell r="C581" t="str">
            <v>VAR_fin</v>
          </cell>
          <cell r="D581" t="str">
            <v>RHNS_ELC</v>
          </cell>
          <cell r="E581">
            <v>1.7765287493884073E-3</v>
          </cell>
          <cell r="F581">
            <v>1.7725859807082571E-3</v>
          </cell>
          <cell r="G581">
            <v>9.1413818038300593E-2</v>
          </cell>
          <cell r="H581">
            <v>0.20607359276217169</v>
          </cell>
        </row>
        <row r="582">
          <cell r="B582" t="str">
            <v>RHNS-EBAT</v>
          </cell>
          <cell r="C582" t="str">
            <v>VAR_fin</v>
          </cell>
          <cell r="D582" t="str">
            <v>AUX_RHNS-EBAT_IN</v>
          </cell>
          <cell r="E582">
            <v>1.7765287493884073E-3</v>
          </cell>
          <cell r="F582">
            <v>1.7725859807082571E-3</v>
          </cell>
          <cell r="G582">
            <v>9.1413818038300593E-2</v>
          </cell>
          <cell r="H582">
            <v>0.20607359276217169</v>
          </cell>
        </row>
        <row r="583">
          <cell r="B583" t="str">
            <v>RHNS-EBAT</v>
          </cell>
          <cell r="C583" t="str">
            <v>VAR_ncap</v>
          </cell>
          <cell r="D583" t="str">
            <v>-</v>
          </cell>
          <cell r="E583">
            <v>6.5314108588699498E-4</v>
          </cell>
          <cell r="F583">
            <v>1.0800261849136601E-6</v>
          </cell>
          <cell r="G583">
            <v>9.4679672243152393E-2</v>
          </cell>
          <cell r="H583">
            <v>7.0577580901630896E-2</v>
          </cell>
        </row>
        <row r="584">
          <cell r="B584" t="str">
            <v>RHNS-EBAT</v>
          </cell>
          <cell r="C584" t="str">
            <v>VAR_cap</v>
          </cell>
          <cell r="D584" t="str">
            <v>-</v>
          </cell>
          <cell r="E584">
            <v>6.5582796599667717E-4</v>
          </cell>
          <cell r="F584">
            <v>6.5656589715237205E-4</v>
          </cell>
          <cell r="G584">
            <v>9.5335660504035982E-2</v>
          </cell>
          <cell r="H584">
            <v>0.16573523576014626</v>
          </cell>
        </row>
        <row r="585">
          <cell r="B585" t="str">
            <v>G-INTC-EXP00-AT</v>
          </cell>
          <cell r="C585" t="str">
            <v>VAR_fout</v>
          </cell>
          <cell r="D585" t="str">
            <v>ELC_E-AT</v>
          </cell>
          <cell r="E585">
            <v>6.2295585931510447</v>
          </cell>
          <cell r="F585">
            <v>9.6964418521045144E-4</v>
          </cell>
          <cell r="G585">
            <v>1.3783057621634574E-3</v>
          </cell>
          <cell r="H585">
            <v>2.7964286862505278E-4</v>
          </cell>
        </row>
        <row r="586">
          <cell r="B586" t="str">
            <v>G-INTC-EXP00-AT</v>
          </cell>
          <cell r="C586" t="str">
            <v>VAR_fin</v>
          </cell>
          <cell r="D586" t="str">
            <v>ELC</v>
          </cell>
          <cell r="E586">
            <v>6.2295585931510447</v>
          </cell>
          <cell r="F586">
            <v>9.6964418521045144E-4</v>
          </cell>
          <cell r="G586">
            <v>1.3783057621634574E-3</v>
          </cell>
          <cell r="H586">
            <v>2.7964286862505278E-4</v>
          </cell>
        </row>
        <row r="587">
          <cell r="B587" t="str">
            <v>G-INTC-EXP00-AT</v>
          </cell>
          <cell r="C587" t="str">
            <v>VAR_ncap</v>
          </cell>
          <cell r="D587" t="str">
            <v>-</v>
          </cell>
          <cell r="E587">
            <v>8.1916469246393303E-7</v>
          </cell>
          <cell r="F587">
            <v>6.9019523083630499E-7</v>
          </cell>
          <cell r="G587">
            <v>8.6793488588328098E-7</v>
          </cell>
          <cell r="H587">
            <v>9.2128021589951298E-7</v>
          </cell>
        </row>
        <row r="588">
          <cell r="B588" t="str">
            <v>G-INTC-EXP00-AT</v>
          </cell>
          <cell r="C588" t="str">
            <v>VAR_cap</v>
          </cell>
          <cell r="D588" t="str">
            <v>-</v>
          </cell>
          <cell r="E588">
            <v>0.232706917232261</v>
          </cell>
          <cell r="F588">
            <v>6.1390734306998596E-4</v>
          </cell>
          <cell r="G588">
            <v>6.0848513368005896E-4</v>
          </cell>
          <cell r="H588">
            <v>6.0453245772618125E-4</v>
          </cell>
        </row>
        <row r="589">
          <cell r="B589" t="str">
            <v>G-INTC-IMP00-DE</v>
          </cell>
          <cell r="C589" t="str">
            <v>VAR_fout</v>
          </cell>
          <cell r="D589" t="str">
            <v>ELC</v>
          </cell>
          <cell r="E589">
            <v>46.398477674441637</v>
          </cell>
          <cell r="F589">
            <v>25.067687804203928</v>
          </cell>
          <cell r="G589">
            <v>21.747601703816116</v>
          </cell>
          <cell r="H589">
            <v>29.378764352414553</v>
          </cell>
        </row>
        <row r="590">
          <cell r="B590" t="str">
            <v>G-INTC-IMP00-DE</v>
          </cell>
          <cell r="C590" t="str">
            <v>VAR_fin</v>
          </cell>
          <cell r="D590" t="str">
            <v>ELC_I-DE</v>
          </cell>
          <cell r="E590">
            <v>46.398477674441637</v>
          </cell>
          <cell r="F590">
            <v>25.067687804203928</v>
          </cell>
          <cell r="G590">
            <v>21.747601703816116</v>
          </cell>
          <cell r="H590">
            <v>29.378764352414553</v>
          </cell>
        </row>
        <row r="591">
          <cell r="B591" t="str">
            <v>G-INTC-IMP00-DE</v>
          </cell>
          <cell r="C591" t="str">
            <v>VAR_ncap</v>
          </cell>
          <cell r="D591" t="str">
            <v>-</v>
          </cell>
          <cell r="E591">
            <v>1.67327147632298E-6</v>
          </cell>
          <cell r="F591">
            <v>1.447411045614E-6</v>
          </cell>
          <cell r="G591">
            <v>1.67677607179005E-6</v>
          </cell>
          <cell r="H591">
            <v>1.86130407821618E-6</v>
          </cell>
        </row>
        <row r="592">
          <cell r="B592" t="str">
            <v>G-INTC-IMP00-DE</v>
          </cell>
          <cell r="C592" t="str">
            <v>VAR_cap</v>
          </cell>
          <cell r="D592" t="str">
            <v>-</v>
          </cell>
          <cell r="E592">
            <v>2.2533692524937701</v>
          </cell>
          <cell r="F592">
            <v>2.2533482934359403</v>
          </cell>
          <cell r="G592">
            <v>2.25334521095815</v>
          </cell>
          <cell r="H592">
            <v>2.2533447384738263</v>
          </cell>
        </row>
        <row r="593">
          <cell r="B593" t="str">
            <v>RHEM-SHSTG-CHPWOD</v>
          </cell>
          <cell r="C593" t="str">
            <v>VAR_fout</v>
          </cell>
          <cell r="D593" t="str">
            <v>AUX_REM-CHPWOD_OUT</v>
          </cell>
          <cell r="E593">
            <v>2.0947215150356535E-4</v>
          </cell>
          <cell r="F593">
            <v>1.0797977002413677E-4</v>
          </cell>
          <cell r="G593">
            <v>4.2614456791066942E-5</v>
          </cell>
          <cell r="H593">
            <v>9.7508605838452216E-5</v>
          </cell>
        </row>
        <row r="594">
          <cell r="B594" t="str">
            <v>RHEM-SHSTG-CHPWOD</v>
          </cell>
          <cell r="C594" t="str">
            <v>VAR_fout</v>
          </cell>
          <cell r="D594" t="str">
            <v>RHEM_LTH_CHPWOD</v>
          </cell>
          <cell r="E594">
            <v>2.0947215150356473E-4</v>
          </cell>
          <cell r="F594">
            <v>1.0805175653748598E-4</v>
          </cell>
          <cell r="G594">
            <v>4.2658846850224274E-5</v>
          </cell>
          <cell r="H594">
            <v>9.7508605838452216E-5</v>
          </cell>
        </row>
        <row r="595">
          <cell r="B595" t="str">
            <v>RHEM-SHSTG-CHPWOD</v>
          </cell>
          <cell r="C595" t="str">
            <v>VAR_fin</v>
          </cell>
          <cell r="D595" t="str">
            <v>AUX_REM-CHPWOD_IN</v>
          </cell>
          <cell r="E595">
            <v>1.6632356821217188E-4</v>
          </cell>
          <cell r="F595">
            <v>8.218297528241015E-5</v>
          </cell>
          <cell r="G595">
            <v>3.430545096187226E-5</v>
          </cell>
          <cell r="H595">
            <v>7.6565824558650576E-5</v>
          </cell>
        </row>
        <row r="596">
          <cell r="B596" t="str">
            <v>RHEM-SHSTG-CHPWOD</v>
          </cell>
          <cell r="C596" t="str">
            <v>VAR_fin</v>
          </cell>
          <cell r="D596" t="str">
            <v>RHEM_LTH_CHPWOD</v>
          </cell>
          <cell r="E596">
            <v>1.6632356821217188E-4</v>
          </cell>
          <cell r="F596">
            <v>8.218297528241015E-5</v>
          </cell>
          <cell r="G596">
            <v>3.430545096187226E-5</v>
          </cell>
          <cell r="H596">
            <v>7.6565824558650576E-5</v>
          </cell>
        </row>
        <row r="597">
          <cell r="B597" t="str">
            <v>RHEM-SHSTG-CHPWOD</v>
          </cell>
          <cell r="C597" t="str">
            <v>VAR_ncap</v>
          </cell>
          <cell r="D597" t="str">
            <v>-</v>
          </cell>
          <cell r="E597">
            <v>2.3185584702312802E-3</v>
          </cell>
          <cell r="F597">
            <v>5.5219627142185101E-5</v>
          </cell>
          <cell r="G597">
            <v>5.2414104834671797E-5</v>
          </cell>
          <cell r="H597">
            <v>3.6056746344079897E-5</v>
          </cell>
        </row>
        <row r="598">
          <cell r="B598" t="str">
            <v>RHEM-SHSTG-CHPWOD</v>
          </cell>
          <cell r="C598" t="str">
            <v>VAR_cap</v>
          </cell>
          <cell r="D598" t="str">
            <v>-</v>
          </cell>
          <cell r="E598">
            <v>2.3185584702312802E-3</v>
          </cell>
          <cell r="F598">
            <v>2.3666099337218563E-3</v>
          </cell>
          <cell r="G598">
            <v>2.3945281934577502E-3</v>
          </cell>
          <cell r="H598">
            <v>2.3773093264145375E-3</v>
          </cell>
        </row>
        <row r="599">
          <cell r="B599" t="str">
            <v>G-INTC-EXP00-FR</v>
          </cell>
          <cell r="C599" t="str">
            <v>VAR_fout</v>
          </cell>
          <cell r="D599" t="str">
            <v>ELC_E-FR</v>
          </cell>
          <cell r="E599">
            <v>12.753362206120997</v>
          </cell>
          <cell r="F599">
            <v>8.9160510513948649E-4</v>
          </cell>
          <cell r="G599">
            <v>9.5445108781468438E-4</v>
          </cell>
          <cell r="H599">
            <v>2.5999837418098221E-3</v>
          </cell>
        </row>
        <row r="600">
          <cell r="B600" t="str">
            <v>G-INTC-EXP00-FR</v>
          </cell>
          <cell r="C600" t="str">
            <v>VAR_fin</v>
          </cell>
          <cell r="D600" t="str">
            <v>ELC</v>
          </cell>
          <cell r="E600">
            <v>12.753362206120997</v>
          </cell>
          <cell r="F600">
            <v>8.9160510513948649E-4</v>
          </cell>
          <cell r="G600">
            <v>9.5445108781468438E-4</v>
          </cell>
          <cell r="H600">
            <v>2.5999837418098221E-3</v>
          </cell>
        </row>
        <row r="601">
          <cell r="B601" t="str">
            <v>G-INTC-EXP00-FR</v>
          </cell>
          <cell r="C601" t="str">
            <v>VAR_ncap</v>
          </cell>
          <cell r="D601" t="str">
            <v>-</v>
          </cell>
          <cell r="E601">
            <v>1.5448521815248899E-6</v>
          </cell>
          <cell r="F601">
            <v>1.3194419285118299E-6</v>
          </cell>
          <cell r="G601">
            <v>1.73149763975315E-6</v>
          </cell>
          <cell r="H601">
            <v>2.6542292336848202E-6</v>
          </cell>
        </row>
        <row r="602">
          <cell r="B602" t="str">
            <v>G-INTC-EXP00-FR</v>
          </cell>
          <cell r="C602" t="str">
            <v>VAR_cap</v>
          </cell>
          <cell r="D602" t="str">
            <v>-</v>
          </cell>
          <cell r="E602">
            <v>1.2999942980586592</v>
          </cell>
          <cell r="F602">
            <v>1.9821996323901026E-3</v>
          </cell>
          <cell r="G602">
            <v>1.9792165358600844E-3</v>
          </cell>
          <cell r="H602">
            <v>1.9789608415230475E-3</v>
          </cell>
        </row>
        <row r="603">
          <cell r="B603" t="str">
            <v>RHNM-EBAT</v>
          </cell>
          <cell r="C603" t="str">
            <v>VAR_fout</v>
          </cell>
          <cell r="D603" t="str">
            <v>RHNM_ELC</v>
          </cell>
          <cell r="E603">
            <v>1.5633393874806137E-3</v>
          </cell>
          <cell r="F603">
            <v>1.5598759260456846E-3</v>
          </cell>
          <cell r="G603">
            <v>1.2327548336235294E-2</v>
          </cell>
          <cell r="H603">
            <v>1.8905668614369184E-2</v>
          </cell>
        </row>
        <row r="604">
          <cell r="B604" t="str">
            <v>RHNM-EBAT</v>
          </cell>
          <cell r="C604" t="str">
            <v>VAR_fout</v>
          </cell>
          <cell r="D604" t="str">
            <v>AUX_RHNM-EBAT_OUT</v>
          </cell>
          <cell r="E604">
            <v>1.5633393874806155E-3</v>
          </cell>
          <cell r="F604">
            <v>1.5598759260456864E-3</v>
          </cell>
          <cell r="G604">
            <v>1.2327548336235306E-2</v>
          </cell>
          <cell r="H604">
            <v>1.8905668614369202E-2</v>
          </cell>
        </row>
        <row r="605">
          <cell r="B605" t="str">
            <v>RHNM-EBAT</v>
          </cell>
          <cell r="C605" t="str">
            <v>VAR_fin</v>
          </cell>
          <cell r="D605" t="str">
            <v>RHNM_ELC</v>
          </cell>
          <cell r="E605">
            <v>1.7335491864552363E-3</v>
          </cell>
          <cell r="F605">
            <v>1.7294643998805011E-3</v>
          </cell>
          <cell r="G605">
            <v>1.3633097056384666E-2</v>
          </cell>
          <cell r="H605">
            <v>2.0907678507465648E-2</v>
          </cell>
        </row>
        <row r="606">
          <cell r="B606" t="str">
            <v>RHNM-EBAT</v>
          </cell>
          <cell r="C606" t="str">
            <v>VAR_fin</v>
          </cell>
          <cell r="D606" t="str">
            <v>AUX_RHNM-EBAT_IN</v>
          </cell>
          <cell r="E606">
            <v>1.7335491864552363E-3</v>
          </cell>
          <cell r="F606">
            <v>1.7294643998805011E-3</v>
          </cell>
          <cell r="G606">
            <v>1.3633097056384666E-2</v>
          </cell>
          <cell r="H606">
            <v>2.0907678507465648E-2</v>
          </cell>
        </row>
        <row r="607">
          <cell r="B607" t="str">
            <v>RHNM-EBAT</v>
          </cell>
          <cell r="C607" t="str">
            <v>VAR_ncap</v>
          </cell>
          <cell r="D607" t="str">
            <v>-</v>
          </cell>
          <cell r="E607">
            <v>6.3720073000370797E-4</v>
          </cell>
          <cell r="F607">
            <v>1.0388209690680799E-6</v>
          </cell>
          <cell r="G607">
            <v>7.7450394757528299E-3</v>
          </cell>
          <cell r="H607">
            <v>2.35731821821559E-4</v>
          </cell>
        </row>
        <row r="608">
          <cell r="B608" t="str">
            <v>RHNM-EBAT</v>
          </cell>
          <cell r="C608" t="str">
            <v>VAR_cap</v>
          </cell>
          <cell r="D608" t="str">
            <v>-</v>
          </cell>
          <cell r="E608">
            <v>6.3988760542043211E-4</v>
          </cell>
          <cell r="F608">
            <v>6.4058323584191296E-4</v>
          </cell>
          <cell r="G608">
            <v>8.3850315023313374E-3</v>
          </cell>
          <cell r="H608">
            <v>8.4470447198514223E-3</v>
          </cell>
        </row>
        <row r="609">
          <cell r="B609" t="str">
            <v>ITOT-CHPWST</v>
          </cell>
          <cell r="C609" t="str">
            <v>VAR_fout</v>
          </cell>
          <cell r="D609" t="str">
            <v>ITOT_LTH_CHP</v>
          </cell>
          <cell r="E609">
            <v>1.9348329464724143</v>
          </cell>
          <cell r="F609">
            <v>1.8587704969302237</v>
          </cell>
          <cell r="G609">
            <v>9.6126317261569661E-3</v>
          </cell>
          <cell r="H609">
            <v>8.8029153962608606E-3</v>
          </cell>
        </row>
        <row r="610">
          <cell r="B610" t="str">
            <v>ITOT-CHPWST</v>
          </cell>
          <cell r="C610" t="str">
            <v>VAR_fout</v>
          </cell>
          <cell r="D610" t="str">
            <v>ITOT_KEV_WST_ELC_CHP</v>
          </cell>
          <cell r="E610">
            <v>0.23004635068839527</v>
          </cell>
          <cell r="F610">
            <v>0.23015797348624767</v>
          </cell>
          <cell r="G610">
            <v>1.269123898617128E-3</v>
          </cell>
          <cell r="H610">
            <v>1.3064910586346094E-3</v>
          </cell>
        </row>
        <row r="611">
          <cell r="B611" t="str">
            <v>ITOT-CHPWST</v>
          </cell>
          <cell r="C611" t="str">
            <v>VAR_fout</v>
          </cell>
          <cell r="D611" t="str">
            <v>CO2_I</v>
          </cell>
          <cell r="E611">
            <v>344.47027846712899</v>
          </cell>
          <cell r="F611">
            <v>344.64536576327998</v>
          </cell>
          <cell r="G611">
            <v>1.9004302174176899</v>
          </cell>
          <cell r="H611">
            <v>1.95638510102967</v>
          </cell>
        </row>
        <row r="612">
          <cell r="B612" t="str">
            <v>ITOT-CHPWST</v>
          </cell>
          <cell r="C612" t="str">
            <v>VAR_fin</v>
          </cell>
          <cell r="D612" t="str">
            <v>IWST</v>
          </cell>
          <cell r="E612">
            <v>3.7119642076199248</v>
          </cell>
          <cell r="F612">
            <v>3.7138509241732818</v>
          </cell>
          <cell r="G612">
            <v>2.0478773894587153E-2</v>
          </cell>
          <cell r="H612">
            <v>2.1081736002474882E-2</v>
          </cell>
        </row>
        <row r="613">
          <cell r="B613" t="str">
            <v>ITOT-CHPWST</v>
          </cell>
          <cell r="C613" t="str">
            <v>VAR_ncap</v>
          </cell>
          <cell r="D613" t="str">
            <v>-</v>
          </cell>
          <cell r="F613">
            <v>1.5776603041569099E-7</v>
          </cell>
          <cell r="G613">
            <v>9.9171801946892496E-8</v>
          </cell>
          <cell r="H613">
            <v>2.0250535968431999E-7</v>
          </cell>
        </row>
        <row r="614">
          <cell r="B614" t="str">
            <v>ITOT-CHPWST</v>
          </cell>
          <cell r="C614" t="str">
            <v>VAR_cap</v>
          </cell>
          <cell r="D614" t="str">
            <v>-</v>
          </cell>
          <cell r="E614">
            <v>4.7776374914088753E-2</v>
          </cell>
          <cell r="F614">
            <v>9.4065908755634128E-3</v>
          </cell>
          <cell r="G614">
            <v>5.7311519220486218E-4</v>
          </cell>
          <cell r="H614">
            <v>5.6473860242294699E-4</v>
          </cell>
        </row>
        <row r="615">
          <cell r="B615" t="str">
            <v>CAES-EBAT</v>
          </cell>
          <cell r="C615" t="str">
            <v>VAR_fout</v>
          </cell>
          <cell r="D615" t="str">
            <v>ELC13</v>
          </cell>
          <cell r="E615">
            <v>9.4604505356707294E-2</v>
          </cell>
          <cell r="F615">
            <v>8.2012065258469605E-3</v>
          </cell>
          <cell r="G615">
            <v>8.6205848938974722E-3</v>
          </cell>
          <cell r="H615">
            <v>5.7187808583187685E-2</v>
          </cell>
        </row>
        <row r="616">
          <cell r="B616" t="str">
            <v>CAES-EBAT</v>
          </cell>
          <cell r="C616" t="str">
            <v>VAR_fout</v>
          </cell>
          <cell r="D616" t="str">
            <v>AUX_CAES_OUT</v>
          </cell>
          <cell r="E616">
            <v>9.4604505356707225E-2</v>
          </cell>
          <cell r="F616">
            <v>8.2012065258469519E-3</v>
          </cell>
          <cell r="G616">
            <v>8.6205848938974636E-3</v>
          </cell>
          <cell r="H616">
            <v>5.7187808583187623E-2</v>
          </cell>
        </row>
        <row r="617">
          <cell r="B617" t="str">
            <v>CAES-EBAT</v>
          </cell>
          <cell r="C617" t="str">
            <v>VAR_fin</v>
          </cell>
          <cell r="D617" t="str">
            <v>ELC13</v>
          </cell>
          <cell r="E617">
            <v>0.13515494227332436</v>
          </cell>
          <cell r="F617">
            <v>1.17202161078738E-2</v>
          </cell>
          <cell r="G617">
            <v>1.2315290778212263E-2</v>
          </cell>
          <cell r="H617">
            <v>8.1697957712063743E-2</v>
          </cell>
        </row>
        <row r="618">
          <cell r="B618" t="str">
            <v>CAES-EBAT</v>
          </cell>
          <cell r="C618" t="str">
            <v>VAR_fin</v>
          </cell>
          <cell r="D618" t="str">
            <v>AUX_CAES_IN</v>
          </cell>
          <cell r="E618">
            <v>0.13515494227332436</v>
          </cell>
          <cell r="F618">
            <v>1.17202161078738E-2</v>
          </cell>
          <cell r="G618">
            <v>1.2315290778212263E-2</v>
          </cell>
          <cell r="H618">
            <v>8.1697957712063743E-2</v>
          </cell>
        </row>
        <row r="619">
          <cell r="B619" t="str">
            <v>CAES-EBAT</v>
          </cell>
          <cell r="C619" t="str">
            <v>VAR_ncap</v>
          </cell>
          <cell r="D619" t="str">
            <v>-</v>
          </cell>
          <cell r="F619">
            <v>5.2157888224689704E-7</v>
          </cell>
          <cell r="G619">
            <v>5.1897878658279196E-7</v>
          </cell>
          <cell r="H619">
            <v>5.1284635732976201E-7</v>
          </cell>
        </row>
        <row r="620">
          <cell r="B620" t="str">
            <v>CAES-EBAT</v>
          </cell>
          <cell r="C620" t="str">
            <v>VAR_cap</v>
          </cell>
          <cell r="D620" t="str">
            <v>-</v>
          </cell>
          <cell r="E620">
            <v>0.1</v>
          </cell>
          <cell r="F620">
            <v>9.9997978148670424E-2</v>
          </cell>
          <cell r="G620">
            <v>9.9997689390686539E-2</v>
          </cell>
          <cell r="H620">
            <v>9.999752899883417E-2</v>
          </cell>
        </row>
        <row r="621">
          <cell r="B621" t="str">
            <v>HPLSOL</v>
          </cell>
          <cell r="C621" t="str">
            <v>VAR_fout</v>
          </cell>
          <cell r="D621" t="str">
            <v>LTH</v>
          </cell>
          <cell r="H621">
            <v>6.568231524479816E-5</v>
          </cell>
        </row>
        <row r="622">
          <cell r="B622" t="str">
            <v>HPLSOL</v>
          </cell>
          <cell r="C622" t="str">
            <v>VAR_fin</v>
          </cell>
          <cell r="D622" t="str">
            <v>SOL</v>
          </cell>
          <cell r="H622">
            <v>6.568231524479816E-5</v>
          </cell>
        </row>
        <row r="623">
          <cell r="B623" t="str">
            <v>HPLSOL</v>
          </cell>
          <cell r="C623" t="str">
            <v>VAR_fin</v>
          </cell>
          <cell r="D623" t="str">
            <v>SOLPVC</v>
          </cell>
          <cell r="H623">
            <v>6.5682315244798106E-5</v>
          </cell>
        </row>
        <row r="624">
          <cell r="B624" t="str">
            <v>HPLSOL</v>
          </cell>
          <cell r="C624" t="str">
            <v>VAR_ncap</v>
          </cell>
          <cell r="D624" t="str">
            <v>-</v>
          </cell>
          <cell r="H624">
            <v>1.38639463198636E-5</v>
          </cell>
        </row>
        <row r="625">
          <cell r="B625" t="str">
            <v>HPLSOL</v>
          </cell>
          <cell r="C625" t="str">
            <v>VAR_cap</v>
          </cell>
          <cell r="D625" t="str">
            <v>-</v>
          </cell>
          <cell r="H625">
            <v>1.38639463198636E-5</v>
          </cell>
        </row>
        <row r="626">
          <cell r="B626" t="str">
            <v>RHEM-CHPNGA</v>
          </cell>
          <cell r="C626" t="str">
            <v>VAR_fout</v>
          </cell>
          <cell r="D626" t="str">
            <v>CO2_R</v>
          </cell>
          <cell r="E626">
            <v>7.0974967821527297</v>
          </cell>
          <cell r="F626">
            <v>3.5549505781635098</v>
          </cell>
          <cell r="G626">
            <v>5.2993662942742796</v>
          </cell>
        </row>
        <row r="627">
          <cell r="B627" t="str">
            <v>RHEM-CHPNGA</v>
          </cell>
          <cell r="C627" t="str">
            <v>VAR_fout</v>
          </cell>
          <cell r="D627" t="str">
            <v>RHEM_LTH_CHPNGA</v>
          </cell>
          <cell r="E627">
            <v>6.5047041871668196E-2</v>
          </cell>
          <cell r="F627">
            <v>3.937179580448346E-2</v>
          </cell>
          <cell r="G627">
            <v>5.2628290411789937E-2</v>
          </cell>
        </row>
        <row r="628">
          <cell r="B628" t="str">
            <v>RHEM-CHPNGA</v>
          </cell>
          <cell r="C628" t="str">
            <v>VAR_fout</v>
          </cell>
          <cell r="D628" t="str">
            <v>RHEM_NKEV_GAS_ELC_CHP</v>
          </cell>
          <cell r="E628">
            <v>2.9942289115529794E-2</v>
          </cell>
          <cell r="F628">
            <v>1.8301700336557265E-2</v>
          </cell>
          <cell r="G628">
            <v>2.4830050248512571E-2</v>
          </cell>
        </row>
        <row r="629">
          <cell r="B629" t="str">
            <v>RHEM-CHPNGA</v>
          </cell>
          <cell r="C629" t="str">
            <v>VAR_fin</v>
          </cell>
          <cell r="D629" t="str">
            <v>RNGA</v>
          </cell>
          <cell r="E629">
            <v>0.12584214152753062</v>
          </cell>
          <cell r="F629">
            <v>6.3031038619920404E-2</v>
          </cell>
          <cell r="G629">
            <v>9.396039528855106E-2</v>
          </cell>
        </row>
        <row r="630">
          <cell r="B630" t="str">
            <v>RHEM-CHPNGA</v>
          </cell>
          <cell r="C630" t="str">
            <v>VAR_ncap</v>
          </cell>
          <cell r="D630" t="str">
            <v>-</v>
          </cell>
          <cell r="F630">
            <v>9.8191336318980204E-8</v>
          </cell>
        </row>
        <row r="631">
          <cell r="B631" t="str">
            <v>RHEM-CHPNGA</v>
          </cell>
          <cell r="C631" t="str">
            <v>VAR_cap</v>
          </cell>
          <cell r="D631" t="str">
            <v>-</v>
          </cell>
          <cell r="E631">
            <v>8.7357116145508097E-3</v>
          </cell>
          <cell r="F631">
            <v>5.5315385742958495E-3</v>
          </cell>
          <cell r="G631">
            <v>5.530634488376129E-3</v>
          </cell>
          <cell r="H631">
            <v>1.5616956804407993E-4</v>
          </cell>
        </row>
        <row r="632">
          <cell r="B632" t="str">
            <v>D-DH2</v>
          </cell>
          <cell r="C632" t="str">
            <v>VAR_fout</v>
          </cell>
          <cell r="D632" t="str">
            <v>H2</v>
          </cell>
          <cell r="H632">
            <v>2.5979775839457691E-6</v>
          </cell>
        </row>
        <row r="633">
          <cell r="B633" t="str">
            <v>D-DH2</v>
          </cell>
          <cell r="C633" t="str">
            <v>VAR_fin</v>
          </cell>
          <cell r="D633" t="str">
            <v>H2_E</v>
          </cell>
          <cell r="H633">
            <v>2.6242197817634044E-6</v>
          </cell>
        </row>
        <row r="634">
          <cell r="B634" t="str">
            <v>D-DH2</v>
          </cell>
          <cell r="C634" t="str">
            <v>VAR_ncap</v>
          </cell>
          <cell r="D634" t="str">
            <v>-</v>
          </cell>
          <cell r="H634">
            <v>4.4961677846737703E-5</v>
          </cell>
        </row>
        <row r="635">
          <cell r="B635" t="str">
            <v>D-DH2</v>
          </cell>
          <cell r="C635" t="str">
            <v>VAR_cap</v>
          </cell>
          <cell r="D635" t="str">
            <v>-</v>
          </cell>
          <cell r="H635">
            <v>4.4961677846737703E-5</v>
          </cell>
        </row>
        <row r="636">
          <cell r="B636" t="str">
            <v>D-SBIO</v>
          </cell>
          <cell r="C636" t="str">
            <v>VAR_fout</v>
          </cell>
          <cell r="D636" t="str">
            <v>SBIO</v>
          </cell>
          <cell r="E636">
            <v>4.047678497955741</v>
          </cell>
          <cell r="F636">
            <v>4.5835572344108719</v>
          </cell>
          <cell r="G636">
            <v>3.0432886410802027</v>
          </cell>
          <cell r="H636">
            <v>3.0324895825530755</v>
          </cell>
        </row>
        <row r="637">
          <cell r="B637" t="str">
            <v>D-SBIO</v>
          </cell>
          <cell r="C637" t="str">
            <v>VAR_fin</v>
          </cell>
          <cell r="D637" t="str">
            <v>BIO</v>
          </cell>
          <cell r="E637">
            <v>4.047678497955741</v>
          </cell>
          <cell r="F637">
            <v>4.5835572344108719</v>
          </cell>
          <cell r="G637">
            <v>3.0432886410802027</v>
          </cell>
          <cell r="H637">
            <v>3.0324895825530755</v>
          </cell>
        </row>
        <row r="638">
          <cell r="B638" t="str">
            <v>SCOM-CHPBIO</v>
          </cell>
          <cell r="C638" t="str">
            <v>VAR_fout</v>
          </cell>
          <cell r="D638" t="str">
            <v>SCOM_LTH_CHPBIO</v>
          </cell>
          <cell r="E638">
            <v>1.4243144673105808</v>
          </cell>
          <cell r="F638">
            <v>1.5783616651674248</v>
          </cell>
          <cell r="G638">
            <v>1.4829559701235877</v>
          </cell>
          <cell r="H638">
            <v>1.3239573874912396</v>
          </cell>
        </row>
        <row r="639">
          <cell r="B639" t="str">
            <v>SCOM-CHPBIO</v>
          </cell>
          <cell r="C639" t="str">
            <v>VAR_fout</v>
          </cell>
          <cell r="D639" t="str">
            <v>SCOM_KEV_BIO_ELC_CHP</v>
          </cell>
          <cell r="E639">
            <v>0.95936871776915844</v>
          </cell>
          <cell r="F639">
            <v>1.1059702189378271</v>
          </cell>
          <cell r="G639">
            <v>1.1059691502201241</v>
          </cell>
          <cell r="H639">
            <v>1.1059761397393844</v>
          </cell>
        </row>
        <row r="640">
          <cell r="B640" t="str">
            <v>SCOM-CHPBIO</v>
          </cell>
          <cell r="C640" t="str">
            <v>VAR_fin</v>
          </cell>
          <cell r="D640" t="str">
            <v>SBIO</v>
          </cell>
          <cell r="E640">
            <v>2.6453977466877752</v>
          </cell>
          <cell r="F640">
            <v>3.0463295993283541</v>
          </cell>
          <cell r="G640">
            <v>3.0432886410802027</v>
          </cell>
          <cell r="H640">
            <v>3.0324895825530755</v>
          </cell>
        </row>
        <row r="641">
          <cell r="B641" t="str">
            <v>SCOM-CHPBIO</v>
          </cell>
          <cell r="C641" t="str">
            <v>VAR_ncap</v>
          </cell>
          <cell r="D641" t="str">
            <v>-</v>
          </cell>
          <cell r="F641">
            <v>2.6190767114477001E-2</v>
          </cell>
          <cell r="G641">
            <v>6.5682168913263096E-3</v>
          </cell>
          <cell r="H641">
            <v>1.2224376941758699E-2</v>
          </cell>
        </row>
        <row r="642">
          <cell r="B642" t="str">
            <v>SCOM-CHPBIO</v>
          </cell>
          <cell r="C642" t="str">
            <v>VAR_cap</v>
          </cell>
          <cell r="D642" t="str">
            <v>-</v>
          </cell>
          <cell r="E642">
            <v>7.3512524726972894E-2</v>
          </cell>
          <cell r="F642">
            <v>8.4747257634949266E-2</v>
          </cell>
          <cell r="G642">
            <v>8.4746835443488711E-2</v>
          </cell>
          <cell r="H642">
            <v>8.4749088535111233E-2</v>
          </cell>
        </row>
        <row r="643">
          <cell r="B643" t="str">
            <v>SCOM-CHPHFC</v>
          </cell>
          <cell r="C643" t="str">
            <v>VAR_ncap</v>
          </cell>
          <cell r="D643" t="str">
            <v>-</v>
          </cell>
          <cell r="H643">
            <v>6.3383339114771199E-6</v>
          </cell>
        </row>
        <row r="644">
          <cell r="B644" t="str">
            <v>SCOM-CHPHFC</v>
          </cell>
          <cell r="C644" t="str">
            <v>VAR_cap</v>
          </cell>
          <cell r="D644" t="str">
            <v>-</v>
          </cell>
          <cell r="H644">
            <v>6.3383339114771199E-6</v>
          </cell>
        </row>
        <row r="645">
          <cell r="B645" t="str">
            <v>RHES-EBAT</v>
          </cell>
          <cell r="C645" t="str">
            <v>VAR_fout</v>
          </cell>
          <cell r="D645" t="str">
            <v>RHES_ELC</v>
          </cell>
          <cell r="E645">
            <v>1.6020850302043872E-3</v>
          </cell>
          <cell r="F645">
            <v>1.5987377167827868E-3</v>
          </cell>
          <cell r="G645">
            <v>8.2619992943175055E-2</v>
          </cell>
          <cell r="H645">
            <v>0.18588455307522669</v>
          </cell>
        </row>
        <row r="646">
          <cell r="B646" t="str">
            <v>RHES-EBAT</v>
          </cell>
          <cell r="C646" t="str">
            <v>VAR_fout</v>
          </cell>
          <cell r="D646" t="str">
            <v>AUX_RHES-EBAT_OUT</v>
          </cell>
          <cell r="E646">
            <v>1.6020850302043892E-3</v>
          </cell>
          <cell r="F646">
            <v>1.5987377167827885E-3</v>
          </cell>
          <cell r="G646">
            <v>8.2619992943175111E-2</v>
          </cell>
          <cell r="H646">
            <v>0.18588455307522686</v>
          </cell>
        </row>
        <row r="647">
          <cell r="B647" t="str">
            <v>RHES-EBAT</v>
          </cell>
          <cell r="C647" t="str">
            <v>VAR_fin</v>
          </cell>
          <cell r="D647" t="str">
            <v>RHES_ELC</v>
          </cell>
          <cell r="E647">
            <v>1.7763966287559798E-3</v>
          </cell>
          <cell r="F647">
            <v>1.7724402861802723E-3</v>
          </cell>
          <cell r="G647">
            <v>9.1367070846464754E-2</v>
          </cell>
          <cell r="H647">
            <v>0.2055634760921303</v>
          </cell>
        </row>
        <row r="648">
          <cell r="B648" t="str">
            <v>RHES-EBAT</v>
          </cell>
          <cell r="C648" t="str">
            <v>VAR_fin</v>
          </cell>
          <cell r="D648" t="str">
            <v>AUX_RHES-EBAT_IN</v>
          </cell>
          <cell r="E648">
            <v>1.7763966287559798E-3</v>
          </cell>
          <cell r="F648">
            <v>1.7724402861802723E-3</v>
          </cell>
          <cell r="G648">
            <v>9.1367070846464754E-2</v>
          </cell>
          <cell r="H648">
            <v>0.2055634760921303</v>
          </cell>
        </row>
        <row r="649">
          <cell r="B649" t="str">
            <v>RHES-EBAT</v>
          </cell>
          <cell r="C649" t="str">
            <v>VAR_ncap</v>
          </cell>
          <cell r="D649" t="str">
            <v>-</v>
          </cell>
          <cell r="E649">
            <v>6.5308638033500198E-4</v>
          </cell>
          <cell r="F649">
            <v>1.07969558846917E-6</v>
          </cell>
          <cell r="G649">
            <v>9.4665038439474297E-2</v>
          </cell>
          <cell r="H649">
            <v>7.0167030112850096E-2</v>
          </cell>
        </row>
        <row r="650">
          <cell r="B650" t="str">
            <v>RHES-EBAT</v>
          </cell>
          <cell r="C650" t="str">
            <v>VAR_cap</v>
          </cell>
          <cell r="D650" t="str">
            <v>-</v>
          </cell>
          <cell r="E650">
            <v>6.5577321764088579E-4</v>
          </cell>
          <cell r="F650">
            <v>6.5651086654503811E-4</v>
          </cell>
          <cell r="G650">
            <v>9.5320971696660692E-2</v>
          </cell>
          <cell r="H650">
            <v>0.16531001096627759</v>
          </cell>
        </row>
        <row r="651">
          <cell r="B651" t="str">
            <v>D-INGA</v>
          </cell>
          <cell r="C651" t="str">
            <v>VAR_fout</v>
          </cell>
          <cell r="D651" t="str">
            <v>CO2</v>
          </cell>
          <cell r="E651">
            <v>2101.9963012756698</v>
          </cell>
          <cell r="F651">
            <v>1837.04520511803</v>
          </cell>
          <cell r="G651">
            <v>1884.4161375675301</v>
          </cell>
          <cell r="H651">
            <v>1324.33922793749</v>
          </cell>
        </row>
        <row r="652">
          <cell r="B652" t="str">
            <v>D-INGA</v>
          </cell>
          <cell r="C652" t="str">
            <v>VAR_fout</v>
          </cell>
          <cell r="D652" t="str">
            <v>IH2</v>
          </cell>
          <cell r="H652">
            <v>9.2632700323708378E-2</v>
          </cell>
        </row>
        <row r="653">
          <cell r="B653" t="str">
            <v>D-INGA</v>
          </cell>
          <cell r="C653" t="str">
            <v>VAR_fout</v>
          </cell>
          <cell r="D653" t="str">
            <v>INGA</v>
          </cell>
          <cell r="E653">
            <v>37.47663594044554</v>
          </cell>
          <cell r="F653">
            <v>32.468125775863371</v>
          </cell>
          <cell r="G653">
            <v>35.735566984568884</v>
          </cell>
          <cell r="H653">
            <v>25.847743004470814</v>
          </cell>
        </row>
        <row r="654">
          <cell r="B654" t="str">
            <v>D-INGA</v>
          </cell>
          <cell r="C654" t="str">
            <v>VAR_fin</v>
          </cell>
          <cell r="D654" t="str">
            <v>NGA</v>
          </cell>
          <cell r="E654">
            <v>37.269437965880591</v>
          </cell>
          <cell r="F654">
            <v>32.571723495000519</v>
          </cell>
          <cell r="G654">
            <v>33.411633644814401</v>
          </cell>
          <cell r="H654">
            <v>23.481191984707319</v>
          </cell>
        </row>
        <row r="655">
          <cell r="B655" t="str">
            <v>D-INGA</v>
          </cell>
          <cell r="C655" t="str">
            <v>VAR_fin</v>
          </cell>
          <cell r="D655" t="str">
            <v>BNGA</v>
          </cell>
          <cell r="E655">
            <v>0.32692156983496323</v>
          </cell>
          <cell r="F655">
            <v>1.6280872324424606E-4</v>
          </cell>
          <cell r="G655">
            <v>2.4380948820338948</v>
          </cell>
          <cell r="H655">
            <v>2.4494671783970818</v>
          </cell>
        </row>
        <row r="656">
          <cell r="B656" t="str">
            <v>D-INGA</v>
          </cell>
          <cell r="C656" t="str">
            <v>VAR_fin</v>
          </cell>
          <cell r="D656" t="str">
            <v>H2</v>
          </cell>
          <cell r="H656">
            <v>9.2632072383369748E-2</v>
          </cell>
        </row>
        <row r="657">
          <cell r="B657" t="str">
            <v>D-INGA</v>
          </cell>
          <cell r="C657" t="str">
            <v>VAR_ncap</v>
          </cell>
          <cell r="D657" t="str">
            <v>-</v>
          </cell>
          <cell r="E657">
            <v>1.43385467024082E-6</v>
          </cell>
          <cell r="F657">
            <v>5.1782735898806899E-7</v>
          </cell>
          <cell r="G657">
            <v>6.67062546443028E-7</v>
          </cell>
          <cell r="H657">
            <v>1.02885962837948E-6</v>
          </cell>
        </row>
        <row r="658">
          <cell r="B658" t="str">
            <v>D-INGA</v>
          </cell>
          <cell r="C658" t="str">
            <v>VAR_cap</v>
          </cell>
          <cell r="D658" t="str">
            <v>-</v>
          </cell>
          <cell r="E658">
            <v>1.9844848041207703</v>
          </cell>
          <cell r="F658">
            <v>1.9844853219481293</v>
          </cell>
          <cell r="G658">
            <v>1.9844859890106756</v>
          </cell>
          <cell r="H658">
            <v>1.984487017870304</v>
          </cell>
        </row>
        <row r="659">
          <cell r="B659" t="str">
            <v>EWIND</v>
          </cell>
          <cell r="C659" t="str">
            <v>VAR_fout</v>
          </cell>
          <cell r="D659" t="str">
            <v>ELC35</v>
          </cell>
          <cell r="E659">
            <v>0.52400000000000047</v>
          </cell>
          <cell r="F659">
            <v>0.54529229929872658</v>
          </cell>
          <cell r="G659">
            <v>0.50316489763227623</v>
          </cell>
          <cell r="H659">
            <v>2.050259966074901</v>
          </cell>
        </row>
        <row r="660">
          <cell r="B660" t="str">
            <v>EWIND</v>
          </cell>
          <cell r="C660" t="str">
            <v>VAR_fin</v>
          </cell>
          <cell r="D660" t="str">
            <v>WND</v>
          </cell>
          <cell r="E660">
            <v>0.52400000000000047</v>
          </cell>
          <cell r="F660">
            <v>0.54529229929872658</v>
          </cell>
          <cell r="G660">
            <v>0.50316489763227623</v>
          </cell>
          <cell r="H660">
            <v>2.050259966074901</v>
          </cell>
        </row>
        <row r="661">
          <cell r="B661" t="str">
            <v>EWIND</v>
          </cell>
          <cell r="C661" t="str">
            <v>VAR_ncap</v>
          </cell>
          <cell r="D661" t="str">
            <v>-</v>
          </cell>
          <cell r="F661">
            <v>7.1321598926009696E-3</v>
          </cell>
          <cell r="G661">
            <v>0.29200640875718398</v>
          </cell>
          <cell r="H661">
            <v>0.28588652815226001</v>
          </cell>
        </row>
        <row r="662">
          <cell r="B662" t="str">
            <v>EWIND</v>
          </cell>
          <cell r="C662" t="str">
            <v>VAR_cap</v>
          </cell>
          <cell r="D662" t="str">
            <v>-</v>
          </cell>
          <cell r="E662">
            <v>8.7120000000000003E-2</v>
          </cell>
          <cell r="F662">
            <v>9.0660047929208162E-2</v>
          </cell>
          <cell r="G662">
            <v>8.3655965423137163E-2</v>
          </cell>
          <cell r="H662">
            <v>0.34087530220510831</v>
          </cell>
        </row>
        <row r="663">
          <cell r="B663" t="str">
            <v>EGEO</v>
          </cell>
          <cell r="C663" t="str">
            <v>VAR_fout</v>
          </cell>
          <cell r="D663" t="str">
            <v>ELC35</v>
          </cell>
        </row>
        <row r="664">
          <cell r="B664" t="str">
            <v>EGEO</v>
          </cell>
          <cell r="C664" t="str">
            <v>VAR_fin</v>
          </cell>
          <cell r="D664" t="str">
            <v>GEO</v>
          </cell>
        </row>
        <row r="665">
          <cell r="B665" t="str">
            <v>EGEO</v>
          </cell>
          <cell r="C665" t="str">
            <v>VAR_ncap</v>
          </cell>
          <cell r="D665" t="str">
            <v>-</v>
          </cell>
        </row>
        <row r="666">
          <cell r="B666" t="str">
            <v>EGEO</v>
          </cell>
          <cell r="C666" t="str">
            <v>VAR_cap</v>
          </cell>
          <cell r="D666" t="str">
            <v>-</v>
          </cell>
        </row>
        <row r="667">
          <cell r="B667" t="str">
            <v>D-SPLT</v>
          </cell>
          <cell r="C667" t="str">
            <v>VAR_fout</v>
          </cell>
          <cell r="D667" t="str">
            <v>SPLT</v>
          </cell>
          <cell r="E667">
            <v>2.0856364051966532</v>
          </cell>
          <cell r="F667">
            <v>2.4000932528858097</v>
          </cell>
          <cell r="G667">
            <v>1.0004291084944199</v>
          </cell>
          <cell r="H667">
            <v>1.2392968316166877</v>
          </cell>
        </row>
        <row r="668">
          <cell r="B668" t="str">
            <v>D-SPLT</v>
          </cell>
          <cell r="C668" t="str">
            <v>VAR_fin</v>
          </cell>
          <cell r="D668" t="str">
            <v>PLT</v>
          </cell>
          <cell r="E668">
            <v>2.0856364051966532</v>
          </cell>
          <cell r="F668">
            <v>2.4000932528858097</v>
          </cell>
          <cell r="G668">
            <v>1.0004291084944199</v>
          </cell>
          <cell r="H668">
            <v>1.2392968316166877</v>
          </cell>
        </row>
        <row r="669">
          <cell r="B669" t="str">
            <v>RHES-ESOLPV</v>
          </cell>
          <cell r="C669" t="str">
            <v>VAR_fout</v>
          </cell>
          <cell r="D669" t="str">
            <v>RHES_SOL_ELC</v>
          </cell>
          <cell r="E669">
            <v>2.1349390887346629</v>
          </cell>
          <cell r="F669">
            <v>3.3906652963971213</v>
          </cell>
          <cell r="G669">
            <v>4.0405351798847695</v>
          </cell>
          <cell r="H669">
            <v>4.3442717330685703</v>
          </cell>
        </row>
        <row r="670">
          <cell r="B670" t="str">
            <v>RHES-ESOLPV</v>
          </cell>
          <cell r="C670" t="str">
            <v>VAR_fin</v>
          </cell>
          <cell r="D670" t="str">
            <v>SOL</v>
          </cell>
          <cell r="E670">
            <v>2.1349390887346629</v>
          </cell>
          <cell r="F670">
            <v>3.3906652963971213</v>
          </cell>
          <cell r="G670">
            <v>4.0405351798847695</v>
          </cell>
          <cell r="H670">
            <v>4.3442717330685703</v>
          </cell>
        </row>
        <row r="671">
          <cell r="B671" t="str">
            <v>RHES-ESOLPV</v>
          </cell>
          <cell r="C671" t="str">
            <v>VAR_fin</v>
          </cell>
          <cell r="D671" t="str">
            <v>SOLPVC</v>
          </cell>
          <cell r="E671">
            <v>2.1349390887346602</v>
          </cell>
          <cell r="F671">
            <v>3.39066529639712</v>
          </cell>
          <cell r="G671">
            <v>4.0405351798847704</v>
          </cell>
          <cell r="H671">
            <v>4.3442717330685703</v>
          </cell>
        </row>
        <row r="672">
          <cell r="B672" t="str">
            <v>RHES-ESOLPV</v>
          </cell>
          <cell r="C672" t="str">
            <v>VAR_ncap</v>
          </cell>
          <cell r="D672" t="str">
            <v>-</v>
          </cell>
          <cell r="F672">
            <v>5.0095833036694E-8</v>
          </cell>
          <cell r="G672">
            <v>1.6083079759281399E-5</v>
          </cell>
          <cell r="H672">
            <v>3.6778529653370302E-5</v>
          </cell>
        </row>
        <row r="673">
          <cell r="B673" t="str">
            <v>RHES-ESOLPV</v>
          </cell>
          <cell r="C673" t="str">
            <v>VAR_cap</v>
          </cell>
          <cell r="D673" t="str">
            <v>-</v>
          </cell>
          <cell r="E673">
            <v>0.67885700000000004</v>
          </cell>
          <cell r="F673">
            <v>1.155899967773983</v>
          </cell>
          <cell r="G673">
            <v>1.2891731331755925</v>
          </cell>
          <cell r="H673">
            <v>1.2523270767616257</v>
          </cell>
        </row>
        <row r="674">
          <cell r="B674" t="str">
            <v>SUP_DAC</v>
          </cell>
          <cell r="C674" t="str">
            <v>VAR_fout</v>
          </cell>
          <cell r="D674" t="str">
            <v>CO2_O</v>
          </cell>
        </row>
        <row r="675">
          <cell r="B675" t="str">
            <v>SUP_DAC</v>
          </cell>
          <cell r="C675" t="str">
            <v>VAR_fout</v>
          </cell>
          <cell r="D675" t="str">
            <v>CO2</v>
          </cell>
        </row>
        <row r="676">
          <cell r="B676" t="str">
            <v>SUP_DAC</v>
          </cell>
          <cell r="C676" t="str">
            <v>VAR_fin</v>
          </cell>
          <cell r="D676" t="str">
            <v>CHEAT</v>
          </cell>
        </row>
        <row r="677">
          <cell r="B677" t="str">
            <v>SUP_DAC</v>
          </cell>
          <cell r="C677" t="str">
            <v>VAR_fin</v>
          </cell>
          <cell r="D677" t="str">
            <v>CELC</v>
          </cell>
        </row>
        <row r="678">
          <cell r="B678" t="str">
            <v>SUP_DAC</v>
          </cell>
          <cell r="C678" t="str">
            <v>VAR_ncap</v>
          </cell>
          <cell r="D678" t="str">
            <v>-</v>
          </cell>
        </row>
        <row r="679">
          <cell r="B679" t="str">
            <v>SUP_DAC</v>
          </cell>
          <cell r="C679" t="str">
            <v>VAR_cap</v>
          </cell>
          <cell r="D679" t="str">
            <v>-</v>
          </cell>
        </row>
        <row r="680">
          <cell r="B680" t="str">
            <v>EHYD-DAM10</v>
          </cell>
          <cell r="C680" t="str">
            <v>VAR_fout</v>
          </cell>
          <cell r="D680" t="str">
            <v>ELC</v>
          </cell>
          <cell r="F680">
            <v>1.5593572043683024E-2</v>
          </cell>
          <cell r="G680">
            <v>0.43775483242384977</v>
          </cell>
          <cell r="H680">
            <v>0.71379067589332568</v>
          </cell>
        </row>
        <row r="681">
          <cell r="B681" t="str">
            <v>EHYD-DAM10</v>
          </cell>
          <cell r="C681" t="str">
            <v>VAR_fin</v>
          </cell>
          <cell r="D681" t="str">
            <v>HYDD</v>
          </cell>
          <cell r="F681">
            <v>1.5593572043683024E-2</v>
          </cell>
          <cell r="G681">
            <v>0.43775483242384977</v>
          </cell>
          <cell r="H681">
            <v>0.71379067589332568</v>
          </cell>
        </row>
        <row r="682">
          <cell r="B682" t="str">
            <v>EHYD-DAM10</v>
          </cell>
          <cell r="C682" t="str">
            <v>VAR_ncap</v>
          </cell>
          <cell r="D682" t="str">
            <v>-</v>
          </cell>
          <cell r="F682">
            <v>2.0454715647859E-3</v>
          </cell>
          <cell r="G682">
            <v>4.5397414806572903E-2</v>
          </cell>
          <cell r="H682">
            <v>2.7503752417515001E-2</v>
          </cell>
        </row>
        <row r="683">
          <cell r="B683" t="str">
            <v>EHYD-DAM10</v>
          </cell>
          <cell r="C683" t="str">
            <v>VAR_cap</v>
          </cell>
          <cell r="D683" t="str">
            <v>-</v>
          </cell>
          <cell r="F683">
            <v>2.0454715647859E-3</v>
          </cell>
          <cell r="G683">
            <v>4.7442886371358801E-2</v>
          </cell>
          <cell r="H683">
            <v>7.4946638788873907E-2</v>
          </cell>
        </row>
        <row r="684">
          <cell r="B684" t="str">
            <v>DH-EBAT</v>
          </cell>
          <cell r="C684" t="str">
            <v>VAR_fout</v>
          </cell>
          <cell r="D684" t="str">
            <v>ELC35</v>
          </cell>
          <cell r="E684">
            <v>5.1249944686922125E-3</v>
          </cell>
          <cell r="F684">
            <v>4.0007776764152325E-3</v>
          </cell>
          <cell r="G684">
            <v>1.3978425514363424E-2</v>
          </cell>
          <cell r="H684">
            <v>5.7845381253948447E-2</v>
          </cell>
        </row>
        <row r="685">
          <cell r="B685" t="str">
            <v>DH-EBAT</v>
          </cell>
          <cell r="C685" t="str">
            <v>VAR_fout</v>
          </cell>
          <cell r="D685" t="str">
            <v>AUX_DH-EBAT_OUT</v>
          </cell>
          <cell r="E685">
            <v>5.1249944686922099E-3</v>
          </cell>
          <cell r="F685">
            <v>4.0007776764152316E-3</v>
          </cell>
          <cell r="G685">
            <v>1.3978425514363421E-2</v>
          </cell>
          <cell r="H685">
            <v>5.7845381253948391E-2</v>
          </cell>
        </row>
        <row r="686">
          <cell r="B686" t="str">
            <v>DH-EBAT</v>
          </cell>
          <cell r="C686" t="str">
            <v>VAR_fin</v>
          </cell>
          <cell r="D686" t="str">
            <v>ELC35</v>
          </cell>
          <cell r="E686">
            <v>5.7323394295997173E-3</v>
          </cell>
          <cell r="F686">
            <v>4.4740075196785523E-3</v>
          </cell>
          <cell r="G686">
            <v>1.5631552943467776E-2</v>
          </cell>
          <cell r="H686">
            <v>6.4685427160440914E-2</v>
          </cell>
        </row>
        <row r="687">
          <cell r="B687" t="str">
            <v>DH-EBAT</v>
          </cell>
          <cell r="C687" t="str">
            <v>VAR_fin</v>
          </cell>
          <cell r="D687" t="str">
            <v>AUX_DH-EBAT_IN</v>
          </cell>
          <cell r="E687">
            <v>5.7323394295997173E-3</v>
          </cell>
          <cell r="F687">
            <v>4.4740075196785523E-3</v>
          </cell>
          <cell r="G687">
            <v>1.5631552943467776E-2</v>
          </cell>
          <cell r="H687">
            <v>6.4685427160440914E-2</v>
          </cell>
        </row>
        <row r="688">
          <cell r="B688" t="str">
            <v>DH-EBAT</v>
          </cell>
          <cell r="C688" t="str">
            <v>VAR_ncap</v>
          </cell>
          <cell r="D688" t="str">
            <v>-</v>
          </cell>
          <cell r="E688">
            <v>7.1107342805583904E-4</v>
          </cell>
          <cell r="F688">
            <v>1.10705882905383E-6</v>
          </cell>
          <cell r="G688">
            <v>3.38421962565072E-3</v>
          </cell>
          <cell r="H688">
            <v>9.8359570142899297E-3</v>
          </cell>
        </row>
        <row r="689">
          <cell r="B689" t="str">
            <v>DH-EBAT</v>
          </cell>
          <cell r="C689" t="str">
            <v>VAR_cap</v>
          </cell>
          <cell r="D689" t="str">
            <v>-</v>
          </cell>
          <cell r="E689">
            <v>7.1107342805583904E-4</v>
          </cell>
          <cell r="F689">
            <v>7.1185824813393755E-4</v>
          </cell>
          <cell r="G689">
            <v>4.0956985725972674E-3</v>
          </cell>
          <cell r="H689">
            <v>1.3740575249159939E-2</v>
          </cell>
        </row>
        <row r="690">
          <cell r="B690" t="str">
            <v>RHEM-EBAT</v>
          </cell>
          <cell r="C690" t="str">
            <v>VAR_fout</v>
          </cell>
          <cell r="D690" t="str">
            <v>RHEM_ELC</v>
          </cell>
          <cell r="E690">
            <v>1.5632624358028696E-3</v>
          </cell>
          <cell r="F690">
            <v>1.5597823681328684E-3</v>
          </cell>
          <cell r="G690">
            <v>1.2374926827194471E-2</v>
          </cell>
          <cell r="H690">
            <v>1.9003912327363821E-2</v>
          </cell>
        </row>
        <row r="691">
          <cell r="B691" t="str">
            <v>RHEM-EBAT</v>
          </cell>
          <cell r="C691" t="str">
            <v>VAR_fout</v>
          </cell>
          <cell r="D691" t="str">
            <v>AUX_RHEM-EBAT_OUT</v>
          </cell>
          <cell r="E691">
            <v>1.5632624358028716E-3</v>
          </cell>
          <cell r="F691">
            <v>1.5597823681328701E-3</v>
          </cell>
          <cell r="G691">
            <v>1.2374926827194484E-2</v>
          </cell>
          <cell r="H691">
            <v>1.9003912327363849E-2</v>
          </cell>
        </row>
        <row r="692">
          <cell r="B692" t="str">
            <v>RHEM-EBAT</v>
          </cell>
          <cell r="C692" t="str">
            <v>VAR_fin</v>
          </cell>
          <cell r="D692" t="str">
            <v>RHEM_ELC</v>
          </cell>
          <cell r="E692">
            <v>1.7334640883037333E-3</v>
          </cell>
          <cell r="F692">
            <v>1.729360937478313E-3</v>
          </cell>
          <cell r="G692">
            <v>1.3685491268139975E-2</v>
          </cell>
          <cell r="H692">
            <v>2.1016322771130427E-2</v>
          </cell>
        </row>
        <row r="693">
          <cell r="B693" t="str">
            <v>RHEM-EBAT</v>
          </cell>
          <cell r="C693" t="str">
            <v>VAR_fin</v>
          </cell>
          <cell r="D693" t="str">
            <v>AUX_RHEM-EBAT_IN</v>
          </cell>
          <cell r="E693">
            <v>1.7334640883037333E-3</v>
          </cell>
          <cell r="F693">
            <v>1.729360937478313E-3</v>
          </cell>
          <cell r="G693">
            <v>1.3685491268139975E-2</v>
          </cell>
          <cell r="H693">
            <v>2.1016322771130427E-2</v>
          </cell>
        </row>
        <row r="694">
          <cell r="B694" t="str">
            <v>RHEM-EBAT</v>
          </cell>
          <cell r="C694" t="str">
            <v>VAR_ncap</v>
          </cell>
          <cell r="D694" t="str">
            <v>-</v>
          </cell>
          <cell r="E694">
            <v>6.3716369388501601E-4</v>
          </cell>
          <cell r="F694">
            <v>1.0385474068092101E-6</v>
          </cell>
          <cell r="G694">
            <v>7.7899374570927398E-3</v>
          </cell>
          <cell r="H694">
            <v>2.3752904281447801E-4</v>
          </cell>
        </row>
        <row r="695">
          <cell r="B695" t="str">
            <v>RHEM-EBAT</v>
          </cell>
          <cell r="C695" t="str">
            <v>VAR_cap</v>
          </cell>
          <cell r="D695" t="str">
            <v>-</v>
          </cell>
          <cell r="E695">
            <v>6.3985051458273327E-4</v>
          </cell>
          <cell r="F695">
            <v>6.4054578125414771E-4</v>
          </cell>
          <cell r="G695">
            <v>8.4298916767265135E-3</v>
          </cell>
          <cell r="H695">
            <v>8.4937122873531331E-3</v>
          </cell>
        </row>
        <row r="696">
          <cell r="B696" t="str">
            <v>HPLGEO</v>
          </cell>
          <cell r="C696" t="str">
            <v>VAR_fout</v>
          </cell>
          <cell r="D696" t="str">
            <v>LTH</v>
          </cell>
        </row>
        <row r="697">
          <cell r="B697" t="str">
            <v>HPLGEO</v>
          </cell>
          <cell r="C697" t="str">
            <v>VAR_fin</v>
          </cell>
          <cell r="D697" t="str">
            <v>GEO</v>
          </cell>
        </row>
        <row r="698">
          <cell r="B698" t="str">
            <v>HPLGEO</v>
          </cell>
          <cell r="C698" t="str">
            <v>VAR_ncap</v>
          </cell>
          <cell r="D698" t="str">
            <v>-</v>
          </cell>
        </row>
        <row r="699">
          <cell r="B699" t="str">
            <v>HPLGEO</v>
          </cell>
          <cell r="C699" t="str">
            <v>VAR_cap</v>
          </cell>
          <cell r="D699" t="str">
            <v>-</v>
          </cell>
        </row>
        <row r="700">
          <cell r="B700" t="str">
            <v>EHYD-PUM15</v>
          </cell>
          <cell r="C700" t="str">
            <v>VAR_fout</v>
          </cell>
          <cell r="D700" t="str">
            <v>ELC</v>
          </cell>
          <cell r="F700">
            <v>2.3741997894042022E-3</v>
          </cell>
          <cell r="G700">
            <v>2.311286393549267E-3</v>
          </cell>
          <cell r="H700">
            <v>2.9355165041008596E-3</v>
          </cell>
        </row>
        <row r="701">
          <cell r="B701" t="str">
            <v>EHYD-PUM15</v>
          </cell>
          <cell r="C701" t="str">
            <v>VAR_fout</v>
          </cell>
          <cell r="D701" t="str">
            <v>AUX_PUMP_OUT</v>
          </cell>
          <cell r="F701">
            <v>2.3741997894042022E-3</v>
          </cell>
          <cell r="G701">
            <v>2.311286393549267E-3</v>
          </cell>
          <cell r="H701">
            <v>2.9355165041008596E-3</v>
          </cell>
        </row>
        <row r="702">
          <cell r="B702" t="str">
            <v>EHYD-PUM15</v>
          </cell>
          <cell r="C702" t="str">
            <v>VAR_fin</v>
          </cell>
          <cell r="D702" t="str">
            <v>AUX_PUMP_IN</v>
          </cell>
          <cell r="F702">
            <v>2.9686879575718632E-3</v>
          </cell>
          <cell r="G702">
            <v>2.8896125977703243E-3</v>
          </cell>
          <cell r="H702">
            <v>3.6693191540995199E-3</v>
          </cell>
        </row>
        <row r="703">
          <cell r="B703" t="str">
            <v>EHYD-PUM15</v>
          </cell>
          <cell r="C703" t="str">
            <v>VAR_fin</v>
          </cell>
          <cell r="D703" t="str">
            <v>ELC</v>
          </cell>
          <cell r="F703">
            <v>2.9686879575718632E-3</v>
          </cell>
          <cell r="G703">
            <v>2.8896125977703243E-3</v>
          </cell>
          <cell r="H703">
            <v>3.6693191540995199E-3</v>
          </cell>
        </row>
        <row r="704">
          <cell r="B704" t="str">
            <v>EHYD-PUM15</v>
          </cell>
          <cell r="C704" t="str">
            <v>VAR_ncap</v>
          </cell>
          <cell r="D704" t="str">
            <v>-</v>
          </cell>
          <cell r="F704">
            <v>2.7978489939247401E-4</v>
          </cell>
          <cell r="G704">
            <v>2.2112815381042301E-7</v>
          </cell>
          <cell r="H704">
            <v>2.3423907880873499E-7</v>
          </cell>
        </row>
        <row r="705">
          <cell r="B705" t="str">
            <v>EHYD-PUM15</v>
          </cell>
          <cell r="C705" t="str">
            <v>VAR_cap</v>
          </cell>
          <cell r="D705" t="str">
            <v>-</v>
          </cell>
          <cell r="F705">
            <v>2.7978489939247401E-4</v>
          </cell>
          <cell r="G705">
            <v>2.7978489939247401E-4</v>
          </cell>
          <cell r="H705">
            <v>2.7978489939247401E-4</v>
          </cell>
        </row>
        <row r="706">
          <cell r="B706" t="str">
            <v>D-EWST</v>
          </cell>
          <cell r="C706" t="str">
            <v>VAR_fout</v>
          </cell>
          <cell r="D706" t="str">
            <v>CO2</v>
          </cell>
          <cell r="E706">
            <v>2266.2748416183599</v>
          </cell>
          <cell r="F706">
            <v>2235.4033852381099</v>
          </cell>
          <cell r="G706">
            <v>2249.6617786891802</v>
          </cell>
          <cell r="H706">
            <v>2240.3784619818798</v>
          </cell>
        </row>
        <row r="707">
          <cell r="B707" t="str">
            <v>D-EWST</v>
          </cell>
          <cell r="C707" t="str">
            <v>VAR_fout</v>
          </cell>
          <cell r="D707" t="str">
            <v>EWST</v>
          </cell>
          <cell r="E707">
            <v>48.842130207292236</v>
          </cell>
          <cell r="F707">
            <v>48.176798825763818</v>
          </cell>
          <cell r="G707">
            <v>48.484092956004318</v>
          </cell>
          <cell r="H707">
            <v>48.284017755598406</v>
          </cell>
        </row>
        <row r="708">
          <cell r="B708" t="str">
            <v>D-EWST</v>
          </cell>
          <cell r="C708" t="str">
            <v>VAR_fin</v>
          </cell>
          <cell r="D708" t="str">
            <v>WSTNREN</v>
          </cell>
          <cell r="E708">
            <v>24.421065103646111</v>
          </cell>
          <cell r="F708">
            <v>24.08839854782444</v>
          </cell>
          <cell r="G708">
            <v>24.242045028978222</v>
          </cell>
          <cell r="H708">
            <v>24.142009288597773</v>
          </cell>
        </row>
        <row r="709">
          <cell r="B709" t="str">
            <v>D-EWST</v>
          </cell>
          <cell r="C709" t="str">
            <v>VAR_fin</v>
          </cell>
          <cell r="D709" t="str">
            <v>WSTREN</v>
          </cell>
          <cell r="E709">
            <v>24.421065103646111</v>
          </cell>
          <cell r="F709">
            <v>24.08839854782444</v>
          </cell>
          <cell r="G709">
            <v>24.242045028978222</v>
          </cell>
          <cell r="H709">
            <v>24.142009288597773</v>
          </cell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5.0110895796879804</v>
          </cell>
        </row>
        <row r="5">
          <cell r="A5" t="str">
            <v>EXPELC_DE</v>
          </cell>
          <cell r="C5" t="str">
            <v>ELC_E-DE</v>
          </cell>
          <cell r="D5">
            <v>26.492980719095737</v>
          </cell>
          <cell r="E5">
            <v>7.1760488921404045E-4</v>
          </cell>
          <cell r="F5">
            <v>8.9900510017724717E-4</v>
          </cell>
          <cell r="G5">
            <v>3.7200592421887816E-3</v>
          </cell>
        </row>
        <row r="6">
          <cell r="A6" t="str">
            <v>IMPDSL</v>
          </cell>
          <cell r="C6" t="str">
            <v>DSL</v>
          </cell>
          <cell r="D6">
            <v>118.02136086279887</v>
          </cell>
          <cell r="E6">
            <v>112.67289081329531</v>
          </cell>
          <cell r="F6">
            <v>95.833136669535776</v>
          </cell>
          <cell r="G6">
            <v>66.372910757396625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15.013808092334221</v>
          </cell>
          <cell r="E8">
            <v>6.3280933042308334</v>
          </cell>
          <cell r="F8">
            <v>3.2554288802233962</v>
          </cell>
          <cell r="G8">
            <v>6.5749511855897653</v>
          </cell>
        </row>
        <row r="9">
          <cell r="A9" t="str">
            <v>IMPELC_AT</v>
          </cell>
          <cell r="C9" t="str">
            <v>ELCS</v>
          </cell>
          <cell r="D9">
            <v>15.013808092334221</v>
          </cell>
          <cell r="E9">
            <v>6.3280933042308334</v>
          </cell>
          <cell r="F9">
            <v>3.2554288802233962</v>
          </cell>
          <cell r="G9">
            <v>6.5749511855897653</v>
          </cell>
        </row>
        <row r="10">
          <cell r="A10" t="str">
            <v>IMPELC_FR</v>
          </cell>
          <cell r="C10" t="str">
            <v>ELC_I-FR</v>
          </cell>
          <cell r="D10">
            <v>28.948623268472957</v>
          </cell>
          <cell r="E10">
            <v>18.878911720049846</v>
          </cell>
          <cell r="F10">
            <v>25.448015441977613</v>
          </cell>
          <cell r="G10">
            <v>14.770930443495541</v>
          </cell>
        </row>
        <row r="11">
          <cell r="A11" t="str">
            <v>IMPELC_FR</v>
          </cell>
          <cell r="C11" t="str">
            <v>ELCS</v>
          </cell>
          <cell r="D11">
            <v>28.948623268472957</v>
          </cell>
          <cell r="E11">
            <v>18.878911720049846</v>
          </cell>
          <cell r="F11">
            <v>25.448015441977613</v>
          </cell>
          <cell r="G11">
            <v>14.770930443495541</v>
          </cell>
        </row>
        <row r="12">
          <cell r="A12" t="str">
            <v>RNWHYDR1</v>
          </cell>
          <cell r="C12" t="str">
            <v>HYDR</v>
          </cell>
          <cell r="D12">
            <v>66.632401302559757</v>
          </cell>
          <cell r="E12">
            <v>55.763999499234771</v>
          </cell>
          <cell r="F12">
            <v>65.556938829097916</v>
          </cell>
          <cell r="G12">
            <v>64.509539778207909</v>
          </cell>
        </row>
        <row r="13">
          <cell r="A13" t="str">
            <v>EXPELC_IT</v>
          </cell>
          <cell r="C13" t="str">
            <v>ELC_E-IT</v>
          </cell>
          <cell r="D13">
            <v>71.694108845295574</v>
          </cell>
          <cell r="E13">
            <v>35.114100580975446</v>
          </cell>
          <cell r="F13">
            <v>72.937318826003377</v>
          </cell>
          <cell r="G13">
            <v>69.548453273796468</v>
          </cell>
        </row>
        <row r="14">
          <cell r="A14" t="str">
            <v>IMPLNG</v>
          </cell>
          <cell r="C14" t="str">
            <v>LBIO</v>
          </cell>
          <cell r="G14">
            <v>2.1348877817391556</v>
          </cell>
        </row>
        <row r="15">
          <cell r="A15" t="str">
            <v>IMPLNG</v>
          </cell>
          <cell r="C15" t="str">
            <v>LNGA</v>
          </cell>
          <cell r="G15">
            <v>8.1173974437481744E-4</v>
          </cell>
        </row>
        <row r="16">
          <cell r="A16" t="str">
            <v>IMPURN1</v>
          </cell>
          <cell r="C16" t="str">
            <v>URN</v>
          </cell>
          <cell r="D16">
            <v>250.94818946672058</v>
          </cell>
          <cell r="E16">
            <v>253.29988506627492</v>
          </cell>
          <cell r="F16">
            <v>232.95381994855765</v>
          </cell>
          <cell r="G16">
            <v>210.9902588219237</v>
          </cell>
        </row>
        <row r="17">
          <cell r="A17" t="str">
            <v>EXPELC_AT</v>
          </cell>
          <cell r="C17" t="str">
            <v>ELC_E-AT</v>
          </cell>
          <cell r="D17">
            <v>6.2295585931510447</v>
          </cell>
          <cell r="E17">
            <v>9.6964418521045144E-4</v>
          </cell>
          <cell r="F17">
            <v>1.3783057621634574E-3</v>
          </cell>
          <cell r="G17">
            <v>2.7964286862505278E-4</v>
          </cell>
        </row>
        <row r="18">
          <cell r="A18" t="str">
            <v>EXPELC_FR</v>
          </cell>
          <cell r="C18" t="str">
            <v>ELC_E-FR</v>
          </cell>
          <cell r="D18">
            <v>12.753362206120997</v>
          </cell>
          <cell r="E18">
            <v>8.9160510513948649E-4</v>
          </cell>
          <cell r="F18">
            <v>9.5445108781468438E-4</v>
          </cell>
          <cell r="G18">
            <v>2.5999837418098221E-3</v>
          </cell>
        </row>
        <row r="19">
          <cell r="A19" t="str">
            <v>RNWWND1</v>
          </cell>
          <cell r="C19" t="str">
            <v>WND</v>
          </cell>
          <cell r="D19">
            <v>0.51945878301275228</v>
          </cell>
          <cell r="E19">
            <v>0.54073347218874368</v>
          </cell>
          <cell r="F19">
            <v>0.49857760065902879</v>
          </cell>
          <cell r="G19">
            <v>0.87512288571438102</v>
          </cell>
        </row>
        <row r="20">
          <cell r="A20" t="str">
            <v>RNWWND2</v>
          </cell>
          <cell r="C20" t="str">
            <v>WND</v>
          </cell>
          <cell r="D20">
            <v>1.6267461217058584E-3</v>
          </cell>
          <cell r="E20">
            <v>1.6314714850487935E-3</v>
          </cell>
          <cell r="F20">
            <v>1.6426664168233463E-3</v>
          </cell>
          <cell r="G20">
            <v>1.1705383282695361</v>
          </cell>
        </row>
        <row r="21">
          <cell r="A21" t="str">
            <v>RNWMNR1</v>
          </cell>
          <cell r="C21" t="str">
            <v>MNR</v>
          </cell>
          <cell r="D21">
            <v>3.798091949303426</v>
          </cell>
          <cell r="E21">
            <v>10.103738166172031</v>
          </cell>
          <cell r="F21">
            <v>12.540177973050511</v>
          </cell>
          <cell r="G21">
            <v>12.540421597216916</v>
          </cell>
        </row>
        <row r="22">
          <cell r="A22" t="str">
            <v>RNWWND3</v>
          </cell>
          <cell r="C22" t="str">
            <v>WND</v>
          </cell>
          <cell r="D22">
            <v>1.3410363521800459E-3</v>
          </cell>
          <cell r="E22">
            <v>1.3447132053139303E-3</v>
          </cell>
          <cell r="F22">
            <v>1.3540326777516081E-3</v>
          </cell>
          <cell r="G22">
            <v>2.928018779552431E-3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9.3953940706358735E-4</v>
          </cell>
          <cell r="E24">
            <v>9.4175804948120505E-4</v>
          </cell>
          <cell r="F24">
            <v>9.4720459126892921E-4</v>
          </cell>
          <cell r="G24">
            <v>1.0156562583809208E-3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101.75571683158913</v>
          </cell>
          <cell r="E26">
            <v>88.53250012528818</v>
          </cell>
          <cell r="F26">
            <v>84.575680528166146</v>
          </cell>
          <cell r="G26">
            <v>43.1291447502743</v>
          </cell>
        </row>
        <row r="27">
          <cell r="A27" t="str">
            <v>RNWWND5</v>
          </cell>
          <cell r="C27" t="str">
            <v>WND</v>
          </cell>
          <cell r="D27">
            <v>6.4094673385733806E-4</v>
          </cell>
          <cell r="E27">
            <v>6.4208961312263446E-4</v>
          </cell>
          <cell r="F27">
            <v>6.4459926697743011E-4</v>
          </cell>
          <cell r="G27">
            <v>6.6231347554362096E-4</v>
          </cell>
        </row>
        <row r="28">
          <cell r="A28" t="str">
            <v>IMPBNGA</v>
          </cell>
          <cell r="C28" t="str">
            <v>BIO</v>
          </cell>
          <cell r="E28">
            <v>0.51650032479358865</v>
          </cell>
          <cell r="F28">
            <v>0.78708292858487594</v>
          </cell>
          <cell r="G28">
            <v>1.6729825988332192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80.684649317448603</v>
          </cell>
          <cell r="G31">
            <v>78.507070076973406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80.162897171800836</v>
          </cell>
          <cell r="E35">
            <v>74.141235120800587</v>
          </cell>
          <cell r="F35">
            <v>70.941915448230887</v>
          </cell>
          <cell r="G35">
            <v>42.689454944766659</v>
          </cell>
        </row>
        <row r="36">
          <cell r="A36" t="str">
            <v>RNWWOD1</v>
          </cell>
          <cell r="C36" t="str">
            <v>WOD</v>
          </cell>
          <cell r="D36">
            <v>11.111878547547727</v>
          </cell>
          <cell r="E36">
            <v>11.95288628103493</v>
          </cell>
          <cell r="F36">
            <v>13.21439331295667</v>
          </cell>
          <cell r="G36">
            <v>15.316911318714144</v>
          </cell>
        </row>
        <row r="37">
          <cell r="A37" t="str">
            <v>RNWWOD2</v>
          </cell>
          <cell r="C37" t="str">
            <v>WOD</v>
          </cell>
          <cell r="D37">
            <v>7.5116716224354203</v>
          </cell>
          <cell r="E37">
            <v>7.543144084538147</v>
          </cell>
          <cell r="F37">
            <v>7.590348187396585</v>
          </cell>
          <cell r="G37">
            <v>7.6690269584215116</v>
          </cell>
        </row>
        <row r="38">
          <cell r="A38" t="str">
            <v>RNWWOD3</v>
          </cell>
          <cell r="C38" t="str">
            <v>WOD</v>
          </cell>
          <cell r="D38">
            <v>3.168245391696475</v>
          </cell>
          <cell r="E38">
            <v>3.495672889927893</v>
          </cell>
          <cell r="F38">
            <v>3.9868143719520486</v>
          </cell>
          <cell r="G38">
            <v>4.8053861177913157</v>
          </cell>
        </row>
        <row r="39">
          <cell r="A39" t="str">
            <v>RNWWOD4</v>
          </cell>
          <cell r="C39" t="str">
            <v>WOD</v>
          </cell>
          <cell r="D39">
            <v>13.656492955202872</v>
          </cell>
          <cell r="E39">
            <v>14.899045439387546</v>
          </cell>
          <cell r="F39">
            <v>16.76286867291542</v>
          </cell>
          <cell r="G39">
            <v>19.869253986270845</v>
          </cell>
        </row>
        <row r="40">
          <cell r="A40" t="str">
            <v>RNWWOD5</v>
          </cell>
          <cell r="C40" t="str">
            <v>WOD</v>
          </cell>
          <cell r="D40">
            <v>9.5241465194399009</v>
          </cell>
          <cell r="E40">
            <v>10.299726242084301</v>
          </cell>
          <cell r="F40">
            <v>8.213923140162283</v>
          </cell>
          <cell r="G40">
            <v>2.1079012812394118</v>
          </cell>
        </row>
        <row r="41">
          <cell r="A41" t="str">
            <v>RNNWWST1</v>
          </cell>
          <cell r="C41" t="str">
            <v>WSTNREN</v>
          </cell>
          <cell r="D41">
            <v>35.931077297064711</v>
          </cell>
          <cell r="E41">
            <v>35.882385651782826</v>
          </cell>
          <cell r="F41">
            <v>35.283441839682261</v>
          </cell>
          <cell r="G41">
            <v>35.060088143644727</v>
          </cell>
        </row>
        <row r="42">
          <cell r="A42" t="str">
            <v>RNWSOL1</v>
          </cell>
          <cell r="C42" t="str">
            <v>SOL</v>
          </cell>
          <cell r="D42">
            <v>12.556476983150077</v>
          </cell>
          <cell r="E42">
            <v>16.522291880887948</v>
          </cell>
          <cell r="F42">
            <v>30.431207350638559</v>
          </cell>
          <cell r="G42">
            <v>52.839375045989406</v>
          </cell>
        </row>
        <row r="43">
          <cell r="A43" t="str">
            <v>IMPHFO1</v>
          </cell>
          <cell r="C43" t="str">
            <v>HFO</v>
          </cell>
          <cell r="D43">
            <v>2.7763749147230832</v>
          </cell>
          <cell r="E43">
            <v>2.4460036651318813</v>
          </cell>
          <cell r="F43">
            <v>4.106701765337473E-3</v>
          </cell>
          <cell r="G43">
            <v>7.3389114231985552E-4</v>
          </cell>
        </row>
        <row r="44">
          <cell r="A44" t="str">
            <v>RNWHYDD1</v>
          </cell>
          <cell r="C44" t="str">
            <v>HYDD</v>
          </cell>
          <cell r="D44">
            <v>66.745680112610472</v>
          </cell>
          <cell r="E44">
            <v>49.798797638350912</v>
          </cell>
          <cell r="F44">
            <v>69.090669467554378</v>
          </cell>
          <cell r="G44">
            <v>70.809472620928403</v>
          </cell>
        </row>
        <row r="45">
          <cell r="A45" t="str">
            <v>IMPKER</v>
          </cell>
          <cell r="C45" t="str">
            <v>KER</v>
          </cell>
          <cell r="D45">
            <v>1.1078033007930141</v>
          </cell>
          <cell r="E45">
            <v>1.4051293075674922</v>
          </cell>
          <cell r="F45">
            <v>1.8478953992403317</v>
          </cell>
          <cell r="G45">
            <v>2.583294479403254</v>
          </cell>
        </row>
        <row r="46">
          <cell r="A46" t="str">
            <v>IMPBDS</v>
          </cell>
          <cell r="C46" t="str">
            <v>BDS</v>
          </cell>
          <cell r="D46">
            <v>2.3605387946778396</v>
          </cell>
          <cell r="E46">
            <v>2.3780125914406773</v>
          </cell>
          <cell r="F46">
            <v>3.8662282646037998</v>
          </cell>
          <cell r="G46">
            <v>4.4080271133046454</v>
          </cell>
        </row>
        <row r="47">
          <cell r="A47" t="str">
            <v>IMPCOA1</v>
          </cell>
          <cell r="C47" t="str">
            <v>COA</v>
          </cell>
          <cell r="D47">
            <v>3.6600076133470161</v>
          </cell>
          <cell r="E47">
            <v>3.5647185818756522</v>
          </cell>
          <cell r="F47">
            <v>5.4973938361112522E-2</v>
          </cell>
          <cell r="G47">
            <v>1.0527247038348468E-3</v>
          </cell>
        </row>
        <row r="48">
          <cell r="A48" t="str">
            <v>IMPETH</v>
          </cell>
          <cell r="C48" t="str">
            <v>ETH</v>
          </cell>
          <cell r="D48">
            <v>4.434150414358708</v>
          </cell>
          <cell r="E48">
            <v>4.2939626316965818</v>
          </cell>
          <cell r="F48">
            <v>3.9001596957830569</v>
          </cell>
          <cell r="G48">
            <v>2.4724733989232108</v>
          </cell>
        </row>
        <row r="49">
          <cell r="A49" t="str">
            <v>IMPELC_DE</v>
          </cell>
          <cell r="C49" t="str">
            <v>ELC_I-DE</v>
          </cell>
          <cell r="D49">
            <v>46.398477674441637</v>
          </cell>
          <cell r="E49">
            <v>25.067687804203928</v>
          </cell>
          <cell r="F49">
            <v>21.747601703816116</v>
          </cell>
          <cell r="G49">
            <v>29.378764352414553</v>
          </cell>
        </row>
        <row r="50">
          <cell r="A50" t="str">
            <v>IMPELC_DE</v>
          </cell>
          <cell r="C50" t="str">
            <v>ELCS</v>
          </cell>
          <cell r="D50">
            <v>46.398477674441637</v>
          </cell>
          <cell r="E50">
            <v>25.067687804203928</v>
          </cell>
          <cell r="F50">
            <v>21.747601703816116</v>
          </cell>
          <cell r="G50">
            <v>29.378764352414553</v>
          </cell>
        </row>
        <row r="51">
          <cell r="A51" t="str">
            <v>RNWWST1</v>
          </cell>
          <cell r="C51" t="str">
            <v>WSTREN</v>
          </cell>
          <cell r="D51">
            <v>34.100439853503033</v>
          </cell>
          <cell r="E51">
            <v>34.214772202133425</v>
          </cell>
          <cell r="F51">
            <v>34.214783389947463</v>
          </cell>
          <cell r="G51">
            <v>36.042403629916436</v>
          </cell>
        </row>
        <row r="52">
          <cell r="A52" t="str">
            <v>IMPNGA1</v>
          </cell>
          <cell r="C52" t="str">
            <v>NGA</v>
          </cell>
          <cell r="D52">
            <v>117.15976749455412</v>
          </cell>
          <cell r="E52">
            <v>106.72000044170612</v>
          </cell>
          <cell r="F52">
            <v>103.7806712895097</v>
          </cell>
          <cell r="G52">
            <v>72.939768068016818</v>
          </cell>
        </row>
        <row r="53">
          <cell r="A53" t="str">
            <v>IMPELC_IT</v>
          </cell>
          <cell r="C53" t="str">
            <v>ELC_I-IT</v>
          </cell>
          <cell r="D53">
            <v>6.7990993073526251</v>
          </cell>
          <cell r="E53">
            <v>6.0110595382900308E-4</v>
          </cell>
          <cell r="F53">
            <v>5.1757035946093267E-4</v>
          </cell>
          <cell r="G53">
            <v>2.1600883862323052E-4</v>
          </cell>
        </row>
        <row r="54">
          <cell r="A54" t="str">
            <v>IMPELC_IT</v>
          </cell>
          <cell r="C54" t="str">
            <v>ELCS</v>
          </cell>
          <cell r="D54">
            <v>6.7990993073526251</v>
          </cell>
          <cell r="E54">
            <v>6.0110595382900308E-4</v>
          </cell>
          <cell r="F54">
            <v>5.1757035946093267E-4</v>
          </cell>
          <cell r="G54">
            <v>2.1600883862323052E-4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3.2682216544739244</v>
          </cell>
          <cell r="E4">
            <v>3.8319890888840518</v>
          </cell>
          <cell r="F4">
            <v>0.8735796292797503</v>
          </cell>
          <cell r="G4">
            <v>1.1546813633476471</v>
          </cell>
          <cell r="H4">
            <v>1.2524823773790945</v>
          </cell>
          <cell r="I4">
            <v>1.3323416100402512</v>
          </cell>
          <cell r="J4">
            <v>1.1442470267363101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3.2682216544739244</v>
          </cell>
          <cell r="E5">
            <v>3.8319890888840518</v>
          </cell>
          <cell r="F5">
            <v>0.8735796292797503</v>
          </cell>
          <cell r="G5">
            <v>1.1546813633476471</v>
          </cell>
          <cell r="H5">
            <v>1.2524823773790945</v>
          </cell>
          <cell r="I5">
            <v>1.3323416100402512</v>
          </cell>
          <cell r="J5">
            <v>1.1442470267363101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1.1719055921158887E-3</v>
          </cell>
          <cell r="F6">
            <v>3.4833983222839216E-5</v>
          </cell>
          <cell r="G6">
            <v>2.2072628706878018E-4</v>
          </cell>
          <cell r="H6">
            <v>2.1588760938881458E-4</v>
          </cell>
          <cell r="I6">
            <v>1.0516082634813079E-4</v>
          </cell>
          <cell r="J6">
            <v>1.4398638051499592E-4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1.173077497708005E-3</v>
          </cell>
          <cell r="F7">
            <v>3.4868817206062097E-5</v>
          </cell>
          <cell r="G7">
            <v>2.2094701335584902E-4</v>
          </cell>
          <cell r="H7">
            <v>2.1610349699820357E-4</v>
          </cell>
          <cell r="I7">
            <v>1.052659871744789E-4</v>
          </cell>
          <cell r="J7">
            <v>1.4413036689551109E-4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1.1630648951225302E-3</v>
          </cell>
          <cell r="F8">
            <v>3.186624508903105E-5</v>
          </cell>
          <cell r="G8">
            <v>2.2025080182539811E-4</v>
          </cell>
          <cell r="H8">
            <v>2.1802699186635144E-4</v>
          </cell>
          <cell r="I8">
            <v>1.0605934363715006E-4</v>
          </cell>
          <cell r="J8">
            <v>1.4789191003050086E-4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2.1247515404006499E-4</v>
          </cell>
          <cell r="E9">
            <v>5.7538501437649302E-6</v>
          </cell>
          <cell r="F9">
            <v>1.18682846567943E-4</v>
          </cell>
          <cell r="G9">
            <v>6.3242895817620603E-6</v>
          </cell>
          <cell r="H9">
            <v>1.2907437154083301E-6</v>
          </cell>
          <cell r="I9">
            <v>8.4421419825330794E-6</v>
          </cell>
          <cell r="J9">
            <v>2.9863863347712201E-5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2.1247515404006499E-4</v>
          </cell>
          <cell r="E10">
            <v>2.1822900418383E-4</v>
          </cell>
          <cell r="F10">
            <v>3.3691185075177303E-4</v>
          </cell>
          <cell r="G10">
            <v>3.4323614033353501E-4</v>
          </cell>
          <cell r="H10">
            <v>1.8434797042661701E-4</v>
          </cell>
          <cell r="I10">
            <v>3.5073622942796103E-5</v>
          </cell>
          <cell r="J10">
            <v>3.6536586485627997E-5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1.8002854839567E-3</v>
          </cell>
          <cell r="F11">
            <v>3.8286539935711699</v>
          </cell>
          <cell r="G11">
            <v>4.4913251447096103</v>
          </cell>
          <cell r="H11">
            <v>4.3436732118496701</v>
          </cell>
          <cell r="I11">
            <v>2.3338241507819402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2.1882710258406344E-5</v>
          </cell>
          <cell r="F12">
            <v>4.9334906415537734E-2</v>
          </cell>
          <cell r="G12">
            <v>5.7874359302635889E-2</v>
          </cell>
          <cell r="H12">
            <v>5.5971810168189071E-2</v>
          </cell>
          <cell r="I12">
            <v>3.0073248138728217E-2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2.4427211451244286E-5</v>
          </cell>
          <cell r="F13">
            <v>5.1949172232987388E-2</v>
          </cell>
          <cell r="G13">
            <v>6.0940639683983777E-2</v>
          </cell>
          <cell r="H13">
            <v>5.893722132767535E-2</v>
          </cell>
          <cell r="I13">
            <v>3.166654207302496E-2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3.2369165383709597E-5</v>
          </cell>
          <cell r="F14">
            <v>1.3209294685638501E-2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3.2369165383709597E-5</v>
          </cell>
          <cell r="F15">
            <v>1.3234109218110884E-2</v>
          </cell>
          <cell r="G15">
            <v>1.3228040692584968E-2</v>
          </cell>
          <cell r="H15">
            <v>1.3216219993359308E-2</v>
          </cell>
          <cell r="I15">
            <v>2.3396239436366353E-3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5.4643927925020099</v>
          </cell>
          <cell r="G16">
            <v>12.986847475434599</v>
          </cell>
          <cell r="H16">
            <v>18.416257113982098</v>
          </cell>
          <cell r="I16">
            <v>22.751442377680402</v>
          </cell>
          <cell r="J16">
            <v>25.895444392829901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0.18644457353349561</v>
          </cell>
          <cell r="G17">
            <v>0.45909718679402184</v>
          </cell>
          <cell r="H17">
            <v>0.66190199534569671</v>
          </cell>
          <cell r="I17">
            <v>0.83002830656796101</v>
          </cell>
          <cell r="J17">
            <v>0.98402162304556118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9.688639703017754E-2</v>
          </cell>
          <cell r="G18">
            <v>0.23026325311054238</v>
          </cell>
          <cell r="H18">
            <v>0.32652938145358323</v>
          </cell>
          <cell r="I18">
            <v>0.403394368398589</v>
          </cell>
          <cell r="J18">
            <v>0.45913908497925238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0.18644457353349561</v>
          </cell>
          <cell r="G19">
            <v>0.45909718679402184</v>
          </cell>
          <cell r="H19">
            <v>0.66190199534569671</v>
          </cell>
          <cell r="I19">
            <v>0.83002830656796101</v>
          </cell>
          <cell r="J19">
            <v>0.98402162304556118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7.6987096482711703E-7</v>
          </cell>
          <cell r="F20">
            <v>1.3640354624494999E-2</v>
          </cell>
          <cell r="G20">
            <v>1.9824399873016998E-2</v>
          </cell>
          <cell r="H20">
            <v>1.4795459913755599E-2</v>
          </cell>
          <cell r="I20">
            <v>2.9749057475958102E-2</v>
          </cell>
          <cell r="J20">
            <v>4.4070772277786101E-2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7.6987096482711703E-7</v>
          </cell>
          <cell r="F21">
            <v>1.3641013937603244E-2</v>
          </cell>
          <cell r="G21">
            <v>3.3465378978598262E-2</v>
          </cell>
          <cell r="H21">
            <v>4.8260188794149957E-2</v>
          </cell>
          <cell r="I21">
            <v>6.049997873798333E-2</v>
          </cell>
          <cell r="J21">
            <v>7.1918925769548378E-2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0.46152062849584646</v>
          </cell>
          <cell r="E22">
            <v>0.54457623963565305</v>
          </cell>
          <cell r="F22">
            <v>3.0559777518475681</v>
          </cell>
          <cell r="G22">
            <v>3.0559851117250689</v>
          </cell>
          <cell r="H22">
            <v>3.0559895257870098</v>
          </cell>
          <cell r="I22">
            <v>3.0559947774150933</v>
          </cell>
          <cell r="J22">
            <v>3.055999613064051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0.46152062849584646</v>
          </cell>
          <cell r="E23">
            <v>0.54457623963565305</v>
          </cell>
          <cell r="F23">
            <v>3.0559777518475681</v>
          </cell>
          <cell r="G23">
            <v>3.0559851117250689</v>
          </cell>
          <cell r="H23">
            <v>3.0559895257870098</v>
          </cell>
          <cell r="I23">
            <v>3.0559947774150933</v>
          </cell>
          <cell r="J23">
            <v>3.055999613064051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0.62579068270623206</v>
          </cell>
          <cell r="E24">
            <v>0.73757504239591842</v>
          </cell>
          <cell r="F24">
            <v>4.1320262560192482</v>
          </cell>
          <cell r="G24">
            <v>4.1204293641236873</v>
          </cell>
          <cell r="H24">
            <v>4.1088934800497601</v>
          </cell>
          <cell r="I24">
            <v>4.0974231652492881</v>
          </cell>
          <cell r="J24">
            <v>4.0746661507520701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8.0956226441289501E-3</v>
          </cell>
          <cell r="F25">
            <v>0.134652244154258</v>
          </cell>
          <cell r="G25">
            <v>5.4163774783058595E-4</v>
          </cell>
          <cell r="H25">
            <v>6.8655994924091301E-2</v>
          </cell>
          <cell r="I25">
            <v>0.12110623374551301</v>
          </cell>
          <cell r="J25">
            <v>9.0739809211313902E-2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3.7954371458900404E-2</v>
          </cell>
          <cell r="F26">
            <v>0.17260321177797844</v>
          </cell>
          <cell r="G26">
            <v>0.17313806013668484</v>
          </cell>
          <cell r="H26">
            <v>0.21570863904270637</v>
          </cell>
          <cell r="I26">
            <v>0.21395885195671466</v>
          </cell>
          <cell r="J26">
            <v>0.20765973899293574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0.52047363200579733</v>
          </cell>
          <cell r="E27">
            <v>0.5972422560995464</v>
          </cell>
          <cell r="F27">
            <v>1.270775909721984</v>
          </cell>
          <cell r="G27">
            <v>1.2703713443215259</v>
          </cell>
          <cell r="H27">
            <v>1.197487691350533</v>
          </cell>
          <cell r="I27">
            <v>1.1272835628859406</v>
          </cell>
          <cell r="J27">
            <v>0.83635614415443804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1.0409472640115947</v>
          </cell>
          <cell r="E28">
            <v>1.1944845121990932</v>
          </cell>
          <cell r="F28">
            <v>2.8939447906132791</v>
          </cell>
          <cell r="G28">
            <v>2.8086352284439018</v>
          </cell>
          <cell r="H28">
            <v>2.592764915275823</v>
          </cell>
          <cell r="I28">
            <v>2.3876735802929052</v>
          </cell>
          <cell r="J28">
            <v>1.6858938660412064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5.1260578233641198E-3</v>
          </cell>
          <cell r="F29">
            <v>4.3741864174076703E-2</v>
          </cell>
          <cell r="G29">
            <v>2.6730797329270598E-3</v>
          </cell>
          <cell r="H29">
            <v>2.36761318635576E-2</v>
          </cell>
          <cell r="I29">
            <v>4.6313351207878398E-2</v>
          </cell>
          <cell r="J29">
            <v>1.5617737194644699E-2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4.0447914262925495E-2</v>
          </cell>
          <cell r="F30">
            <v>8.4189417954724399E-2</v>
          </cell>
          <cell r="G30">
            <v>8.6862213635271371E-2</v>
          </cell>
          <cell r="H30">
            <v>8.1875856620921519E-2</v>
          </cell>
          <cell r="I30">
            <v>7.9562019002441614E-2</v>
          </cell>
          <cell r="J30">
            <v>5.9243505969643409E-2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4.3871602939909655</v>
          </cell>
          <cell r="E31">
            <v>5.0342690454837395</v>
          </cell>
          <cell r="F31">
            <v>5.32441106465589</v>
          </cell>
          <cell r="G31">
            <v>4.3796518678185805</v>
          </cell>
          <cell r="H31">
            <v>3.50330877005484</v>
          </cell>
          <cell r="I31">
            <v>2.749309760902324</v>
          </cell>
          <cell r="J31">
            <v>1.4792077812079256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6.0932781860985639</v>
          </cell>
          <cell r="E32">
            <v>6.9920403409496403</v>
          </cell>
          <cell r="F32">
            <v>7.4270162894921992</v>
          </cell>
          <cell r="G32">
            <v>6.0465479621905809</v>
          </cell>
          <cell r="H32">
            <v>4.815498734261757</v>
          </cell>
          <cell r="I32">
            <v>3.7556035647155199</v>
          </cell>
          <cell r="J32">
            <v>1.9658873163100896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5.2302272925431E-2</v>
          </cell>
          <cell r="F33">
            <v>2.3435555682080798E-2</v>
          </cell>
          <cell r="G33">
            <v>2.7291635638528898E-7</v>
          </cell>
          <cell r="H33">
            <v>0.140922090948564</v>
          </cell>
          <cell r="I33">
            <v>7.7080022431523801E-2</v>
          </cell>
          <cell r="J33">
            <v>4.1754274668918696E-3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0.40673024152249027</v>
          </cell>
          <cell r="F34">
            <v>0.43016570431472517</v>
          </cell>
          <cell r="G34">
            <v>0.4301631248806736</v>
          </cell>
          <cell r="H34">
            <v>0.28306848986657318</v>
          </cell>
          <cell r="I34">
            <v>0.2221528510096242</v>
          </cell>
          <cell r="J34">
            <v>0.11972411972544629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0.27363051813196076</v>
          </cell>
          <cell r="J35">
            <v>0.29257939157942559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0.27639446275955615</v>
          </cell>
          <cell r="J36">
            <v>0.29553473896911669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8.97032038599794E-7</v>
          </cell>
          <cell r="H37">
            <v>2.72760951583545E-6</v>
          </cell>
          <cell r="I37">
            <v>3.6297536225719101E-2</v>
          </cell>
          <cell r="J37">
            <v>6.3255886065431103E-6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8.97032038599794E-7</v>
          </cell>
          <cell r="H38">
            <v>3.62464155443524E-6</v>
          </cell>
          <cell r="I38">
            <v>3.6301160867273502E-2</v>
          </cell>
          <cell r="J38">
            <v>3.630748645588E-2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6.1735465274619692</v>
          </cell>
          <cell r="E39">
            <v>6.6245343382161019</v>
          </cell>
          <cell r="F39">
            <v>7.4687934732896508</v>
          </cell>
          <cell r="G39">
            <v>7.2566040783520016</v>
          </cell>
          <cell r="H39">
            <v>6.4495594295464231</v>
          </cell>
          <cell r="I39">
            <v>5.4408010422340745</v>
          </cell>
          <cell r="J39">
            <v>3.5388869567567096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8.5743701770305147</v>
          </cell>
          <cell r="E40">
            <v>9.2007421364112503</v>
          </cell>
          <cell r="F40">
            <v>11.047769280368991</v>
          </cell>
          <cell r="G40">
            <v>10.73008936713881</v>
          </cell>
          <cell r="H40">
            <v>9.5367403692530583</v>
          </cell>
          <cell r="I40">
            <v>8.0112542578283321</v>
          </cell>
          <cell r="J40">
            <v>5.086582960593133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1.39152249149453E-5</v>
          </cell>
          <cell r="E41">
            <v>3.3708520827952899E-2</v>
          </cell>
          <cell r="F41">
            <v>6.52490673167819E-2</v>
          </cell>
          <cell r="G41">
            <v>1.7734711582830399E-6</v>
          </cell>
          <cell r="H41">
            <v>0.295051936156143</v>
          </cell>
          <cell r="I41">
            <v>0.123038976767775</v>
          </cell>
          <cell r="J41">
            <v>0.110939246571367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0.47843419304202695</v>
          </cell>
          <cell r="E42">
            <v>0.51214247667996193</v>
          </cell>
          <cell r="F42">
            <v>0.57739092501168021</v>
          </cell>
          <cell r="G42">
            <v>0.57738024841596158</v>
          </cell>
          <cell r="H42">
            <v>0.50164007259724064</v>
          </cell>
          <cell r="I42">
            <v>0.4296473938205761</v>
          </cell>
          <cell r="J42">
            <v>0.32503745771417569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5.1850572723066275</v>
          </cell>
          <cell r="E43">
            <v>5.5675591231664345</v>
          </cell>
          <cell r="F43">
            <v>5.8792030863914224</v>
          </cell>
          <cell r="G43">
            <v>6.200553484032322</v>
          </cell>
          <cell r="H43">
            <v>5.8066808663209217</v>
          </cell>
          <cell r="I43">
            <v>7.1892538980937344</v>
          </cell>
          <cell r="J43">
            <v>12.716467802168529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5.1850572723066275</v>
          </cell>
          <cell r="E44">
            <v>5.5675591231664345</v>
          </cell>
          <cell r="F44">
            <v>5.8792030863914224</v>
          </cell>
          <cell r="G44">
            <v>6.200553484032322</v>
          </cell>
          <cell r="H44">
            <v>5.8066808663209217</v>
          </cell>
          <cell r="I44">
            <v>7.1892538980937344</v>
          </cell>
          <cell r="J44">
            <v>12.716467802168529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5.6086429510239393</v>
          </cell>
          <cell r="E45">
            <v>6.0095211590511362</v>
          </cell>
          <cell r="F45">
            <v>6.3256244364645342</v>
          </cell>
          <cell r="G45">
            <v>6.6360312834111879</v>
          </cell>
          <cell r="H45">
            <v>6.1817457692188675</v>
          </cell>
          <cell r="I45">
            <v>7.6134987576557087</v>
          </cell>
          <cell r="J45">
            <v>13.385755581230022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4.9915249527493599E-2</v>
          </cell>
          <cell r="F46">
            <v>7.1549282891145802E-2</v>
          </cell>
          <cell r="G46">
            <v>6.3487779627422497E-2</v>
          </cell>
          <cell r="H46">
            <v>0.1984489301465</v>
          </cell>
          <cell r="I46">
            <v>0.21242834423835</v>
          </cell>
          <cell r="J46">
            <v>0.653643519372612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0.42129995307735163</v>
          </cell>
          <cell r="F47">
            <v>0.406042361508623</v>
          </cell>
          <cell r="G47">
            <v>0.37130750456956702</v>
          </cell>
          <cell r="H47">
            <v>0.32276840616290003</v>
          </cell>
          <cell r="I47">
            <v>0.41456046594686974</v>
          </cell>
          <cell r="J47">
            <v>0.85446499870909431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5.0156270028752101E-2</v>
          </cell>
          <cell r="G48">
            <v>9.8179862821670752E-2</v>
          </cell>
          <cell r="H48">
            <v>0.14777031112200745</v>
          </cell>
          <cell r="I48">
            <v>0.20589891791865614</v>
          </cell>
          <cell r="J48">
            <v>0.22972747843050781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5.0206426298780804E-2</v>
          </cell>
          <cell r="G49">
            <v>9.8278042684492486E-2</v>
          </cell>
          <cell r="H49">
            <v>0.14791808143312943</v>
          </cell>
          <cell r="I49">
            <v>0.20610481683657483</v>
          </cell>
          <cell r="J49">
            <v>0.22995720590893842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5.0165963904665503E-2</v>
          </cell>
          <cell r="G50">
            <v>9.8188642840288026E-2</v>
          </cell>
          <cell r="H50">
            <v>0.14777581816829424</v>
          </cell>
          <cell r="I50">
            <v>0.20590130204809021</v>
          </cell>
          <cell r="J50">
            <v>0.22973170077115077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1.26037254188517E-5</v>
          </cell>
          <cell r="E51">
            <v>1.5958127926403E-5</v>
          </cell>
          <cell r="F51">
            <v>1.36803517381973E-2</v>
          </cell>
          <cell r="G51">
            <v>1.3389888366589799E-2</v>
          </cell>
          <cell r="H51">
            <v>1.3344906887864201E-2</v>
          </cell>
          <cell r="I51">
            <v>2.8810050185726101E-2</v>
          </cell>
          <cell r="J51">
            <v>3.3856646220435702E-2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1.2608065258912203E-5</v>
          </cell>
          <cell r="E52">
            <v>4.8071339541910248E-7</v>
          </cell>
          <cell r="F52">
            <v>1.3673979509930741E-2</v>
          </cell>
          <cell r="G52">
            <v>2.7052046885813513E-2</v>
          </cell>
          <cell r="H52">
            <v>4.0350741263961286E-2</v>
          </cell>
          <cell r="I52">
            <v>5.3630232867762279E-2</v>
          </cell>
          <cell r="J52">
            <v>6.034957302239425E-2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5.4460658560359837E-2</v>
          </cell>
          <cell r="F53">
            <v>3.2547254699714862E-3</v>
          </cell>
          <cell r="G53">
            <v>0.12518967775989948</v>
          </cell>
          <cell r="H53">
            <v>0.12851589873115765</v>
          </cell>
          <cell r="I53">
            <v>0.13359449613595969</v>
          </cell>
          <cell r="J53">
            <v>0.14389228835105308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3.4297371324434716</v>
          </cell>
          <cell r="E54">
            <v>3.8269983058617147</v>
          </cell>
          <cell r="F54">
            <v>4.9765061240458124</v>
          </cell>
          <cell r="G54">
            <v>5.8631369223151619</v>
          </cell>
          <cell r="H54">
            <v>5.8500266139668318</v>
          </cell>
          <cell r="I54">
            <v>5.9318539285236573</v>
          </cell>
          <cell r="J54">
            <v>5.2866777108497853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3.1790502113505692</v>
          </cell>
          <cell r="E55">
            <v>3.5391891456613722</v>
          </cell>
          <cell r="F55">
            <v>1.6083381036864932</v>
          </cell>
          <cell r="G55">
            <v>2.0356266854734297</v>
          </cell>
          <cell r="H55">
            <v>2.1018005302409759</v>
          </cell>
          <cell r="I55">
            <v>2.1886021043173942</v>
          </cell>
          <cell r="J55">
            <v>2.0381990842833329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1.7312181733751972</v>
          </cell>
          <cell r="E56">
            <v>1.8664289581092606</v>
          </cell>
          <cell r="F56">
            <v>1.6200575616161415</v>
          </cell>
          <cell r="G56">
            <v>2.4766483558677019</v>
          </cell>
          <cell r="H56">
            <v>2.6746253510813607</v>
          </cell>
          <cell r="I56">
            <v>2.961473439221499</v>
          </cell>
          <cell r="J56">
            <v>3.0121779502978789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0.35009086418884044</v>
          </cell>
          <cell r="F57">
            <v>5.8925009638907032E-2</v>
          </cell>
          <cell r="G57">
            <v>0.22557087135310827</v>
          </cell>
          <cell r="H57">
            <v>0.24694140779927132</v>
          </cell>
          <cell r="I57">
            <v>0.27180171866477953</v>
          </cell>
          <cell r="J57">
            <v>0.30290015288896244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9.2187341478344305</v>
          </cell>
          <cell r="E58">
            <v>10.652534418099579</v>
          </cell>
          <cell r="F58">
            <v>9.1177850953756305</v>
          </cell>
          <cell r="G58">
            <v>11.786280923286311</v>
          </cell>
          <cell r="H58">
            <v>12.044834430254394</v>
          </cell>
          <cell r="I58">
            <v>12.53019748986096</v>
          </cell>
          <cell r="J58">
            <v>11.677312202194805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0.62768379795955298</v>
          </cell>
          <cell r="E59">
            <v>3.3142467906312599E-6</v>
          </cell>
          <cell r="F59">
            <v>1.0088589892834499E-7</v>
          </cell>
          <cell r="G59">
            <v>1.18698070800902E-7</v>
          </cell>
          <cell r="H59">
            <v>1.0502975369503899E-6</v>
          </cell>
          <cell r="I59">
            <v>2.1557509245593199E-7</v>
          </cell>
          <cell r="J59">
            <v>1.54853006438564E-7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0.62768379795955298</v>
          </cell>
          <cell r="E60">
            <v>0.62768711220634399</v>
          </cell>
          <cell r="F60">
            <v>0.62768721309224296</v>
          </cell>
          <cell r="G60">
            <v>0.627687331790314</v>
          </cell>
          <cell r="H60">
            <v>0.62768838208785105</v>
          </cell>
          <cell r="I60">
            <v>0.62768859766294305</v>
          </cell>
          <cell r="J60">
            <v>0.62768875251595002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3.2392764249814703E-3</v>
          </cell>
          <cell r="E61">
            <v>1.0830004296480532E-3</v>
          </cell>
          <cell r="F61">
            <v>3.0312802849595069E-3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2.6703012690548304E-2</v>
          </cell>
          <cell r="E62">
            <v>1.7218699906909204E-2</v>
          </cell>
          <cell r="F62">
            <v>2.1803338504085924E-2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2.9942289115529794E-2</v>
          </cell>
          <cell r="E63">
            <v>1.8301700336557265E-2</v>
          </cell>
          <cell r="F63">
            <v>2.4830050248512571E-2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73.238336953929007</v>
          </cell>
          <cell r="E64">
            <v>78.573970114563494</v>
          </cell>
          <cell r="F64">
            <v>62.446214071428642</v>
          </cell>
          <cell r="G64">
            <v>60.789076270101283</v>
          </cell>
          <cell r="H64">
            <v>60.050266643395609</v>
          </cell>
          <cell r="I64">
            <v>59.801765201037512</v>
          </cell>
          <cell r="J64">
            <v>58.222303592239022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6.964277643299039</v>
          </cell>
          <cell r="F65">
            <v>2.3144675545615412</v>
          </cell>
          <cell r="G65">
            <v>4.5981106668559626</v>
          </cell>
          <cell r="H65">
            <v>6.8331158130063105</v>
          </cell>
          <cell r="I65">
            <v>8.9508548021452974</v>
          </cell>
          <cell r="J65">
            <v>12.973652540122597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6.1735465274619692</v>
          </cell>
          <cell r="E66">
            <v>6.6245343382161019</v>
          </cell>
          <cell r="F66">
            <v>7.4687934732896508</v>
          </cell>
          <cell r="G66">
            <v>7.2566040783520016</v>
          </cell>
          <cell r="H66">
            <v>6.4495594295464231</v>
          </cell>
          <cell r="I66">
            <v>5.4408010422340745</v>
          </cell>
          <cell r="J66">
            <v>3.5388869567567096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5.5539025125106321</v>
          </cell>
          <cell r="E67">
            <v>6.0159365545758909</v>
          </cell>
          <cell r="F67">
            <v>4.9230940448618936</v>
          </cell>
          <cell r="G67">
            <v>6.237591749533359</v>
          </cell>
          <cell r="H67">
            <v>6.4649061135002359</v>
          </cell>
          <cell r="I67">
            <v>6.7820617817472328</v>
          </cell>
          <cell r="J67">
            <v>6.2438093414658038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2.3940357017589999</v>
          </cell>
          <cell r="E68">
            <v>0.59035117009135218</v>
          </cell>
          <cell r="F68">
            <v>0.51550191463291251</v>
          </cell>
          <cell r="G68">
            <v>0.29354155756222267</v>
          </cell>
          <cell r="H68">
            <v>0.25361165990977769</v>
          </cell>
          <cell r="I68">
            <v>0.21486138742262398</v>
          </cell>
          <cell r="J68">
            <v>0.15867028289735688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1.2230692712559188</v>
          </cell>
          <cell r="E69">
            <v>1.3407699433189733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4.26120697346105</v>
          </cell>
          <cell r="E70">
            <v>4.6176498017466221</v>
          </cell>
          <cell r="F70">
            <v>5.3986972191746867</v>
          </cell>
          <cell r="G70">
            <v>14.22428904321375</v>
          </cell>
          <cell r="H70">
            <v>19.289182468618797</v>
          </cell>
          <cell r="I70">
            <v>25.290921894151818</v>
          </cell>
          <cell r="J70">
            <v>27.301897209009404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1.8770727646769874</v>
          </cell>
          <cell r="E71">
            <v>2.1600839275972281</v>
          </cell>
          <cell r="F71">
            <v>0.66642970074782548</v>
          </cell>
          <cell r="G71">
            <v>0.83015832249815691</v>
          </cell>
          <cell r="H71">
            <v>0.90288673434810318</v>
          </cell>
          <cell r="I71">
            <v>0.97688151503140708</v>
          </cell>
          <cell r="J71">
            <v>0.81875535355118634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0.68565116972854001</v>
          </cell>
          <cell r="E72">
            <v>0.74269112652288438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0.62699669680512371</v>
          </cell>
          <cell r="E73">
            <v>0.68733420361055497</v>
          </cell>
          <cell r="F73">
            <v>0.56364980881678117</v>
          </cell>
          <cell r="G73">
            <v>0.76022142579924501</v>
          </cell>
          <cell r="H73">
            <v>0.89834114792568753</v>
          </cell>
          <cell r="I73">
            <v>1.1057086502600162</v>
          </cell>
          <cell r="J73">
            <v>1.2662946780675541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24.189717659217575</v>
          </cell>
          <cell r="E74">
            <v>25.326923087532478</v>
          </cell>
          <cell r="F74">
            <v>19.083115085237836</v>
          </cell>
          <cell r="G74">
            <v>12.848823839396408</v>
          </cell>
          <cell r="H74">
            <v>7.8054822682479283</v>
          </cell>
          <cell r="I74">
            <v>3.248319788546981</v>
          </cell>
          <cell r="J74">
            <v>0.97377468977824755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1.7784795645028519</v>
          </cell>
          <cell r="G75">
            <v>2.9831003234114282</v>
          </cell>
          <cell r="H75">
            <v>3.8453888072013642</v>
          </cell>
          <cell r="I75">
            <v>4.8363463825277933</v>
          </cell>
          <cell r="J75">
            <v>4.7779793960076553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1.4100669089227811</v>
          </cell>
          <cell r="E76">
            <v>1.527371338969274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24.843070768129444</v>
          </cell>
          <cell r="E77">
            <v>21.976046979083062</v>
          </cell>
          <cell r="F77">
            <v>19.733985705602667</v>
          </cell>
          <cell r="G77">
            <v>10.756635263478749</v>
          </cell>
          <cell r="H77">
            <v>7.3077922010909955</v>
          </cell>
          <cell r="I77">
            <v>2.9550079569702912</v>
          </cell>
          <cell r="J77">
            <v>0.16858314458250667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4.0611001705878928E-4</v>
          </cell>
          <cell r="E78">
            <v>8.2424038949527941E-4</v>
          </cell>
          <cell r="F78">
            <v>1.5923735541717261E-3</v>
          </cell>
          <cell r="G78">
            <v>6.7647783784893323E-4</v>
          </cell>
          <cell r="H78">
            <v>8.9149970891199185E-4</v>
          </cell>
          <cell r="I78">
            <v>5.2378270441219435E-4</v>
          </cell>
          <cell r="J78">
            <v>6.3217312884176449E-4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4.0611001705878928E-4</v>
          </cell>
          <cell r="E79">
            <v>8.2424038949527941E-4</v>
          </cell>
          <cell r="F79">
            <v>2.0118349431942277E-3</v>
          </cell>
          <cell r="G79">
            <v>8.456960674855593E-4</v>
          </cell>
          <cell r="H79">
            <v>1.080677985640936E-3</v>
          </cell>
          <cell r="I79">
            <v>6.1624377548197946E-4</v>
          </cell>
          <cell r="J79">
            <v>6.9957006399429505E-4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2.8424820520975402E-3</v>
          </cell>
          <cell r="E80">
            <v>6.0676490389375998E-6</v>
          </cell>
          <cell r="F80">
            <v>8.5182092830235698E-5</v>
          </cell>
          <cell r="G80">
            <v>1.4471785634319999E-5</v>
          </cell>
          <cell r="H80">
            <v>5.4902254461930799E-5</v>
          </cell>
          <cell r="I80">
            <v>5.2600076111276798E-5</v>
          </cell>
          <cell r="J80">
            <v>7.1137577410584901E-5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2.8424820520975402E-3</v>
          </cell>
          <cell r="E81">
            <v>5.5091375925950259E-5</v>
          </cell>
          <cell r="F81">
            <v>2.1642826201322997E-4</v>
          </cell>
          <cell r="G81">
            <v>2.0936554218445964E-4</v>
          </cell>
          <cell r="H81">
            <v>1.3673838587640501E-4</v>
          </cell>
          <cell r="I81">
            <v>4.8181693441109105E-5</v>
          </cell>
          <cell r="J81">
            <v>7.0808121402925992E-5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3.1209979995954606E-2</v>
          </cell>
          <cell r="F82">
            <v>3.386586161337285E-2</v>
          </cell>
          <cell r="G82">
            <v>3.4940179363836144E-2</v>
          </cell>
          <cell r="H82">
            <v>3.4354897217255674E-2</v>
          </cell>
          <cell r="I82">
            <v>0.15002579964430426</v>
          </cell>
          <cell r="J82">
            <v>0.15854168097986565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3.121107772809115E-2</v>
          </cell>
          <cell r="F83">
            <v>3.3866983364144405E-2</v>
          </cell>
          <cell r="G83">
            <v>3.4940959623640334E-2</v>
          </cell>
          <cell r="H83">
            <v>3.4355810278988007E-2</v>
          </cell>
          <cell r="I83">
            <v>0.15002641791335486</v>
          </cell>
          <cell r="J83">
            <v>0.15854215369947777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1.1816919671313801E-3</v>
          </cell>
          <cell r="F84">
            <v>8.9235470288181304E-5</v>
          </cell>
          <cell r="G84">
            <v>1.3544951155322499E-5</v>
          </cell>
          <cell r="H84">
            <v>2.3740797717053E-5</v>
          </cell>
          <cell r="I84">
            <v>4.8058680924243204E-3</v>
          </cell>
          <cell r="J84">
            <v>9.0618176560522596E-4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1.1816919671313801E-3</v>
          </cell>
          <cell r="F85">
            <v>1.2703997483736584E-3</v>
          </cell>
          <cell r="G85">
            <v>1.2826581853319743E-3</v>
          </cell>
          <cell r="H85">
            <v>1.3036443566983554E-3</v>
          </cell>
          <cell r="I85">
            <v>5.5386115207793915E-3</v>
          </cell>
          <cell r="J85">
            <v>5.7322950412069095E-3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2.0572009076695102E-3</v>
          </cell>
          <cell r="E86">
            <v>4.3491133827510404E-6</v>
          </cell>
          <cell r="F86">
            <v>5.798923378495799E-3</v>
          </cell>
          <cell r="G86">
            <v>1.3739881298247978E-5</v>
          </cell>
          <cell r="H86">
            <v>1.1997268764341917E-5</v>
          </cell>
          <cell r="I86">
            <v>1.7399317984610997E-5</v>
          </cell>
          <cell r="J86">
            <v>1.143827562300823E-5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/>
          <cell r="F87">
            <v>4.0209855163483098E-6</v>
          </cell>
          <cell r="G87">
            <v>1.1082693006421745E-6</v>
          </cell>
          <cell r="H87">
            <v>8.5602913237207293E-7</v>
          </cell>
          <cell r="I87">
            <v>7.4597310094186249E-6</v>
          </cell>
          <cell r="J87">
            <v>5.2054521118752908E-6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3.3560685486846889E-2</v>
          </cell>
          <cell r="E88">
            <v>5.4790515920679003E-3</v>
          </cell>
          <cell r="F88">
            <v>8.1672807652971198E-3</v>
          </cell>
          <cell r="G88">
            <v>4.9616280268139104E-6</v>
          </cell>
          <cell r="H88">
            <v>6.1593413828033837E-6</v>
          </cell>
          <cell r="I88">
            <v>3.3440121071998363E-6</v>
          </cell>
          <cell r="J88">
            <v>1.9498590592281966E-6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3.5617886394516365E-2</v>
          </cell>
          <cell r="E89">
            <v>5.4841274029188911E-3</v>
          </cell>
          <cell r="F89">
            <v>1.397061136787749E-2</v>
          </cell>
          <cell r="G89">
            <v>2.0833208758036714E-5</v>
          </cell>
          <cell r="H89">
            <v>2.0108445374093902E-5</v>
          </cell>
          <cell r="I89">
            <v>2.8203061101229461E-5</v>
          </cell>
          <cell r="J89">
            <v>1.8593586794111707E-5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3.5600063653327489</v>
          </cell>
          <cell r="E90">
            <v>3.4647179462125965</v>
          </cell>
          <cell r="F90">
            <v>2.9051390792505381E-2</v>
          </cell>
          <cell r="G90">
            <v>5.8653485837291939E-4</v>
          </cell>
          <cell r="H90">
            <v>8.670474530029583E-4</v>
          </cell>
          <cell r="I90">
            <v>6.4207984504186123E-3</v>
          </cell>
          <cell r="J90">
            <v>9.4722001253198665E-4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330.01259006634598</v>
          </cell>
          <cell r="E91">
            <v>321.17935361390801</v>
          </cell>
          <cell r="F91">
            <v>2.6930639264652498</v>
          </cell>
          <cell r="G91">
            <v>5.4371781371169603E-2</v>
          </cell>
          <cell r="H91">
            <v>8.0375298893374303E-2</v>
          </cell>
          <cell r="I91">
            <v>0.59520801635380605</v>
          </cell>
          <cell r="J91">
            <v>8.7807295161715204E-2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3.5600063653327489</v>
          </cell>
          <cell r="E92">
            <v>3.4647179462125965</v>
          </cell>
          <cell r="F92">
            <v>2.9051390792505381E-2</v>
          </cell>
          <cell r="G92">
            <v>5.8653485837291939E-4</v>
          </cell>
          <cell r="H92">
            <v>8.670474530029583E-4</v>
          </cell>
          <cell r="I92">
            <v>6.4207984504186123E-3</v>
          </cell>
          <cell r="J92">
            <v>9.4722001253198665E-4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6.4405576646149295E-3</v>
          </cell>
          <cell r="E93">
            <v>0.78038598203713916</v>
          </cell>
          <cell r="F93">
            <v>0.60268621230745922</v>
          </cell>
          <cell r="G93">
            <v>1.6624484755332511</v>
          </cell>
          <cell r="H93">
            <v>2.8166468540923466</v>
          </cell>
          <cell r="I93">
            <v>4.0700124287510624</v>
          </cell>
          <cell r="J93">
            <v>4.2470308023227092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6.4405576646149295E-3</v>
          </cell>
          <cell r="E94">
            <v>0.78038598203713916</v>
          </cell>
          <cell r="F94">
            <v>0.60268621230745922</v>
          </cell>
          <cell r="G94">
            <v>1.6624484755332511</v>
          </cell>
          <cell r="H94">
            <v>2.8166468540923466</v>
          </cell>
          <cell r="I94">
            <v>4.0700124287510624</v>
          </cell>
          <cell r="J94">
            <v>4.2470308023227092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2.7551666147845402E-2</v>
          </cell>
          <cell r="E95">
            <v>2.7551666810656399E-2</v>
          </cell>
          <cell r="F95">
            <v>2.6648947343916E-7</v>
          </cell>
          <cell r="G95">
            <v>6.2303464544026903E-2</v>
          </cell>
          <cell r="H95">
            <v>8.1502399406924497E-2</v>
          </cell>
          <cell r="I95">
            <v>8.8499503014091693E-2</v>
          </cell>
          <cell r="J95">
            <v>3.7853999665527598E-2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2.7551666147845402E-2</v>
          </cell>
          <cell r="E96">
            <v>5.51033329585017E-2</v>
          </cell>
          <cell r="F96">
            <v>5.510304328303485E-2</v>
          </cell>
          <cell r="G96">
            <v>0.11740684395347398</v>
          </cell>
          <cell r="H96">
            <v>0.19890916955520904</v>
          </cell>
          <cell r="I96">
            <v>0.28740871966335141</v>
          </cell>
          <cell r="J96">
            <v>0.29990436772894341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4.6280341001817469</v>
          </cell>
          <cell r="E97">
            <v>3.1707756794962978</v>
          </cell>
          <cell r="F97">
            <v>3.7353633718673028E-2</v>
          </cell>
          <cell r="G97">
            <v>1.1400691690710202E-2</v>
          </cell>
          <cell r="H97">
            <v>3.8590889341447816E-3</v>
          </cell>
          <cell r="I97">
            <v>3.0298362033439772E-3</v>
          </cell>
          <cell r="J97">
            <v>2.1833130034352513E-3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4.8716148422965802</v>
          </cell>
          <cell r="E98">
            <v>3.337658609996105</v>
          </cell>
          <cell r="F98">
            <v>4.0623841918161777E-2</v>
          </cell>
          <cell r="G98">
            <v>1.2336790724204218E-2</v>
          </cell>
          <cell r="H98">
            <v>4.1199475605847389E-3</v>
          </cell>
          <cell r="I98">
            <v>3.2346407372196746E-3</v>
          </cell>
          <cell r="J98">
            <v>2.3106649182360241E-3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8.5319782337947995E-7</v>
          </cell>
          <cell r="E99">
            <v>6.1364220090136897E-7</v>
          </cell>
          <cell r="F99">
            <v>3.9043666288710503E-7</v>
          </cell>
          <cell r="G99">
            <v>8.4613631177060298E-7</v>
          </cell>
          <cell r="H99">
            <v>2.6223549378301301E-5</v>
          </cell>
          <cell r="I99">
            <v>2.7716551553594001E-4</v>
          </cell>
          <cell r="J99">
            <v>4.4017480491568498E-7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0.32680199714616237</v>
          </cell>
          <cell r="E100">
            <v>0.32679809093848189</v>
          </cell>
          <cell r="F100">
            <v>4.7349552012511675E-3</v>
          </cell>
          <cell r="G100">
            <v>1.4596724657119364E-3</v>
          </cell>
          <cell r="H100">
            <v>4.0007951234201367E-4</v>
          </cell>
          <cell r="I100">
            <v>3.0305133857886425E-4</v>
          </cell>
          <cell r="J100">
            <v>1.5409330334401579E-4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2.556914805883625E-3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2.556914805883625E-3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2.582742228165276E-3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7.6139096581733599E-3</v>
          </cell>
          <cell r="F104">
            <v>3.8436120488435301E-3</v>
          </cell>
          <cell r="G104">
            <v>1.20425021747001E-4</v>
          </cell>
          <cell r="H104">
            <v>1.3973577628547599E-4</v>
          </cell>
          <cell r="I104">
            <v>5.8126866990184701E-5</v>
          </cell>
          <cell r="J104">
            <v>1.26565555628403E-8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7.6139096581733599E-3</v>
          </cell>
          <cell r="F105">
            <v>5.7205022304435398E-3</v>
          </cell>
          <cell r="G105">
            <v>2.707168262326004E-4</v>
          </cell>
          <cell r="H105">
            <v>2.5380896211287928E-4</v>
          </cell>
          <cell r="I105">
            <v>1.1479606090054699E-4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7.0803936067659725E-3</v>
          </cell>
          <cell r="E106">
            <v>1.2154448706671377</v>
          </cell>
          <cell r="F106">
            <v>0.98553723767216861</v>
          </cell>
          <cell r="G106">
            <v>2.3822687750504326</v>
          </cell>
          <cell r="H106">
            <v>3.9074325060659612</v>
          </cell>
          <cell r="I106">
            <v>4.0249236999367897</v>
          </cell>
          <cell r="J106">
            <v>6.6148343922286079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7.0803936067659725E-3</v>
          </cell>
          <cell r="E107">
            <v>1.2154448706671377</v>
          </cell>
          <cell r="F107">
            <v>0.98553723767216861</v>
          </cell>
          <cell r="G107">
            <v>2.3822687750504326</v>
          </cell>
          <cell r="H107">
            <v>3.9074325060659612</v>
          </cell>
          <cell r="I107">
            <v>4.0249236999367897</v>
          </cell>
          <cell r="J107">
            <v>6.6148343922286079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4.29122055941717E-2</v>
          </cell>
          <cell r="E108">
            <v>4.2912204117419202E-2</v>
          </cell>
          <cell r="F108">
            <v>2.1595244973346101E-7</v>
          </cell>
          <cell r="G108">
            <v>8.2411877333257597E-2</v>
          </cell>
          <cell r="H108">
            <v>0.10769750783342399</v>
          </cell>
          <cell r="I108">
            <v>8.2912717731961506E-3</v>
          </cell>
          <cell r="J108">
            <v>0.22237374886773001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4.29122055941717E-2</v>
          </cell>
          <cell r="E109">
            <v>8.5824409711590902E-2</v>
          </cell>
          <cell r="F109">
            <v>8.5824063741733569E-2</v>
          </cell>
          <cell r="G109">
            <v>0.16823627908548738</v>
          </cell>
          <cell r="H109">
            <v>0.27593371284551449</v>
          </cell>
          <cell r="I109">
            <v>0.28422503267836363</v>
          </cell>
          <cell r="J109">
            <v>0.46710270895950079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6.8229345244355715E-3</v>
          </cell>
          <cell r="E110">
            <v>9.4318239239694348E-4</v>
          </cell>
          <cell r="F110">
            <v>2.2349152368642974E-2</v>
          </cell>
          <cell r="G110">
            <v>4.5471280663682066E-5</v>
          </cell>
          <cell r="H110">
            <v>5.5524253120596307E-5</v>
          </cell>
          <cell r="I110">
            <v>2.8960775576969635E-5</v>
          </cell>
          <cell r="J110">
            <v>2.9514587213535666E-5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3.2005997030128457E-5</v>
          </cell>
          <cell r="E111">
            <v>9.1754920413851864E-6</v>
          </cell>
          <cell r="F111">
            <v>2.4872927140963813E-6</v>
          </cell>
          <cell r="G111">
            <v>5.6108038053758174E-6</v>
          </cell>
          <cell r="H111">
            <v>6.0451600667512555E-6</v>
          </cell>
          <cell r="I111">
            <v>5.558290667757089E-6</v>
          </cell>
          <cell r="J111">
            <v>4.49385934398484E-6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1.7082775341836016E-5</v>
          </cell>
          <cell r="E112">
            <v>8.7907753292069466E-6</v>
          </cell>
          <cell r="F112">
            <v>1.8690752451395816E-6</v>
          </cell>
          <cell r="G112">
            <v>5.5270075901353241E-6</v>
          </cell>
          <cell r="H112">
            <v>6.44215186934327E-6</v>
          </cell>
          <cell r="I112">
            <v>3.0543069536658012E-6</v>
          </cell>
          <cell r="J112">
            <v>2.5614572100182963E-6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1.6492587778120112E-5</v>
          </cell>
          <cell r="E113">
            <v>6.6496188987711172E-6</v>
          </cell>
          <cell r="F113">
            <v>2.6777930031411599E-6</v>
          </cell>
          <cell r="G113">
            <v>4.4808377529166481E-6</v>
          </cell>
          <cell r="H113">
            <v>7.2937767974267495E-6</v>
          </cell>
          <cell r="I113">
            <v>1.1537922989132924E-6</v>
          </cell>
          <cell r="J113">
            <v>5.1256187860530741E-6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2.2962570027876339E-5</v>
          </cell>
          <cell r="E114">
            <v>1.1082603673877118E-5</v>
          </cell>
          <cell r="F114">
            <v>2.4565086520258474E-6</v>
          </cell>
          <cell r="G114">
            <v>4.8648070811572645E-6</v>
          </cell>
          <cell r="H114">
            <v>7.070168627398736E-6</v>
          </cell>
          <cell r="I114">
            <v>8.2233128069666291E-7</v>
          </cell>
          <cell r="J114">
            <v>3.8892437013378391E-6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4.5714130628844779E-3</v>
          </cell>
          <cell r="E115">
            <v>1.9219978936119416E-4</v>
          </cell>
          <cell r="F115">
            <v>1.3882808023663639E-2</v>
          </cell>
          <cell r="G115">
            <v>9.032503920124193E-6</v>
          </cell>
          <cell r="H115">
            <v>9.0073214952097845E-6</v>
          </cell>
          <cell r="I115">
            <v>3.6981887223503171E-6</v>
          </cell>
          <cell r="J115">
            <v>4.9127719600276409E-6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1.4921950726713891E-5</v>
          </cell>
          <cell r="E116">
            <v>5.8757385295748696E-4</v>
          </cell>
          <cell r="F116">
            <v>2.8957291006783363E-4</v>
          </cell>
          <cell r="G116">
            <v>4.9790540517023908E-6</v>
          </cell>
          <cell r="H116">
            <v>6.611065877872122E-6</v>
          </cell>
          <cell r="I116">
            <v>2.9721498124526952E-6</v>
          </cell>
          <cell r="J116">
            <v>3.0427215083922535E-6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2.1252085860967475E-3</v>
          </cell>
          <cell r="E117">
            <v>1.2771026013502212E-4</v>
          </cell>
          <cell r="F117">
            <v>8.1672807652971198E-3</v>
          </cell>
          <cell r="G117">
            <v>4.9616280268139104E-6</v>
          </cell>
          <cell r="H117">
            <v>6.1593413828033837E-6</v>
          </cell>
          <cell r="I117">
            <v>3.3440121071998363E-6</v>
          </cell>
          <cell r="J117">
            <v>1.9498590592281966E-6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2.2846994549665711E-5</v>
          </cell>
          <cell r="E118"/>
          <cell r="F118"/>
          <cell r="G118">
            <v>6.0146384354565386E-6</v>
          </cell>
          <cell r="H118">
            <v>6.8952670037909557E-6</v>
          </cell>
          <cell r="I118">
            <v>8.3577037339339482E-6</v>
          </cell>
          <cell r="J118">
            <v>3.5390556444935209E-6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1.35517878545057E-5</v>
          </cell>
          <cell r="H119">
            <v>2.4751570820261698E-5</v>
          </cell>
          <cell r="I119">
            <v>1.5332000953808099E-5</v>
          </cell>
          <cell r="J119">
            <v>8.18476228162448E-6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1.35517878545057E-5</v>
          </cell>
          <cell r="H120">
            <v>3.1612972943475618E-5</v>
          </cell>
          <cell r="I120">
            <v>2.7779406871861197E-5</v>
          </cell>
          <cell r="J120">
            <v>1.3938192038924799E-5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3.2005997030128457E-5</v>
          </cell>
          <cell r="E121">
            <v>9.1754920413851864E-6</v>
          </cell>
          <cell r="F121">
            <v>2.4872927140963813E-6</v>
          </cell>
          <cell r="G121">
            <v>5.6108038053758174E-6</v>
          </cell>
          <cell r="H121">
            <v>6.0451600667512555E-6</v>
          </cell>
          <cell r="I121">
            <v>5.558290667757089E-6</v>
          </cell>
          <cell r="J121">
            <v>4.49385934398484E-6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1.1142586261264406E-5</v>
          </cell>
          <cell r="E122">
            <v>1.5912653604600489E-5</v>
          </cell>
          <cell r="F122">
            <v>5.4777513604816772E-6</v>
          </cell>
          <cell r="G122">
            <v>1.3065978716286779E-5</v>
          </cell>
          <cell r="H122">
            <v>1.4875276840291601E-5</v>
          </cell>
          <cell r="I122">
            <v>1.9417493202899196E-5</v>
          </cell>
          <cell r="J122">
            <v>1.1913270911992015E-5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/>
          <cell r="F123"/>
          <cell r="G123">
            <v>1.1084618313357761E-6</v>
          </cell>
          <cell r="H123">
            <v>1.7397609012371847E-6</v>
          </cell>
          <cell r="I123">
            <v>1.2574350395369175E-5</v>
          </cell>
          <cell r="J123">
            <v>6.3427979770545094E-6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4.3148583291392868E-5</v>
          </cell>
          <cell r="E124">
            <v>2.5868781255075803E-5</v>
          </cell>
          <cell r="F124">
            <v>8.3533958883520191E-6</v>
          </cell>
          <cell r="G124">
            <v>2.094278127980164E-5</v>
          </cell>
          <cell r="H124">
            <v>2.3668463610092025E-5</v>
          </cell>
          <cell r="I124">
            <v>3.7550134266025521E-5</v>
          </cell>
          <cell r="J124">
            <v>2.2749928233031371E-5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3.1472597092370624</v>
          </cell>
          <cell r="E125">
            <v>3.5037972542047564</v>
          </cell>
          <cell r="F125">
            <v>1.4355962125738555</v>
          </cell>
          <cell r="G125">
            <v>1.8199503481691566</v>
          </cell>
          <cell r="H125">
            <v>1.8782761963816876</v>
          </cell>
          <cell r="I125">
            <v>1.9574320743902689</v>
          </cell>
          <cell r="J125">
            <v>1.8236555096026688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3.1472597092370624</v>
          </cell>
          <cell r="E126">
            <v>3.5037972542047564</v>
          </cell>
          <cell r="F126">
            <v>1.4355962125738555</v>
          </cell>
          <cell r="G126">
            <v>1.8199503481691566</v>
          </cell>
          <cell r="H126">
            <v>1.8782761963816876</v>
          </cell>
          <cell r="I126">
            <v>1.9574320743902689</v>
          </cell>
          <cell r="J126">
            <v>1.8236555096026688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3.1790502113505692</v>
          </cell>
          <cell r="E127">
            <v>3.5391891456613722</v>
          </cell>
          <cell r="F127">
            <v>1.6083381036864932</v>
          </cell>
          <cell r="G127">
            <v>2.0356266854734297</v>
          </cell>
          <cell r="H127">
            <v>2.1018005302409759</v>
          </cell>
          <cell r="I127">
            <v>2.1886021043173942</v>
          </cell>
          <cell r="J127">
            <v>2.0381990842833329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4.5947710979676502E-2</v>
          </cell>
          <cell r="F128">
            <v>3.7420153297758101E-2</v>
          </cell>
          <cell r="G128">
            <v>4.7048078107121298E-2</v>
          </cell>
          <cell r="H128">
            <v>6.3685771806227295E-2</v>
          </cell>
          <cell r="I128">
            <v>3.5716277689141401E-2</v>
          </cell>
          <cell r="J128">
            <v>6.1853348251986698E-2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0.30696309483973183</v>
          </cell>
          <cell r="F129">
            <v>0.1514350209007215</v>
          </cell>
          <cell r="G129">
            <v>0.16599320687467001</v>
          </cell>
          <cell r="H129">
            <v>0.19485948092112304</v>
          </cell>
          <cell r="I129">
            <v>0.16812555734462703</v>
          </cell>
          <cell r="J129">
            <v>0.17915464877309001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6.749640108883688E-3</v>
          </cell>
          <cell r="E130">
            <v>0.97666167115369584</v>
          </cell>
          <cell r="F130">
            <v>0.77423903439043396</v>
          </cell>
          <cell r="G130">
            <v>0.97641352714862739</v>
          </cell>
          <cell r="H130">
            <v>0.9764158887104859</v>
          </cell>
          <cell r="I130">
            <v>2.0772605005184896</v>
          </cell>
          <cell r="J130">
            <v>4.1587018367797004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6.749640108883688E-3</v>
          </cell>
          <cell r="E131">
            <v>0.97666167115369584</v>
          </cell>
          <cell r="F131">
            <v>0.77423903439043396</v>
          </cell>
          <cell r="G131">
            <v>0.97641352714862739</v>
          </cell>
          <cell r="H131">
            <v>0.9764158887104859</v>
          </cell>
          <cell r="I131">
            <v>2.0772605005184896</v>
          </cell>
          <cell r="J131">
            <v>4.1587018367797004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3.4481526986119899E-2</v>
          </cell>
          <cell r="E132">
            <v>3.44815398977582E-2</v>
          </cell>
          <cell r="F132">
            <v>7.3449809876443805E-8</v>
          </cell>
          <cell r="G132">
            <v>2.3317427741301E-7</v>
          </cell>
          <cell r="H132">
            <v>3.2568647906950698E-7</v>
          </cell>
          <cell r="I132">
            <v>7.7729598994405E-2</v>
          </cell>
          <cell r="J132">
            <v>0.17870603815842501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3.4481526986119899E-2</v>
          </cell>
          <cell r="E133">
            <v>6.8963066883878099E-2</v>
          </cell>
          <cell r="F133">
            <v>6.896258298323546E-2</v>
          </cell>
          <cell r="G133">
            <v>6.8963156541109377E-2</v>
          </cell>
          <cell r="H133">
            <v>6.8963412093668824E-2</v>
          </cell>
          <cell r="I133">
            <v>0.14669305860392889</v>
          </cell>
          <cell r="J133">
            <v>0.29366264250701779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54.192298827105525</v>
          </cell>
          <cell r="E134">
            <v>54.948064903584104</v>
          </cell>
          <cell r="F134">
            <v>58.252681803148022</v>
          </cell>
          <cell r="G134">
            <v>55.271722352525572</v>
          </cell>
          <cell r="H134">
            <v>54.844153893395585</v>
          </cell>
          <cell r="I134">
            <v>54.025482493299364</v>
          </cell>
          <cell r="J134">
            <v>50.460382186481255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13.182272444426753</v>
          </cell>
          <cell r="E135">
            <v>14.46911504276971</v>
          </cell>
          <cell r="F135">
            <v>15.71679548298458</v>
          </cell>
          <cell r="G135">
            <v>18.054301731633224</v>
          </cell>
          <cell r="H135">
            <v>18.157309098088607</v>
          </cell>
          <cell r="I135">
            <v>18.236054633869507</v>
          </cell>
          <cell r="J135">
            <v>17.611557836485165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15.841995237719791</v>
          </cell>
          <cell r="E136">
            <v>13.358428788590997</v>
          </cell>
          <cell r="F136">
            <v>13.890250831287112</v>
          </cell>
          <cell r="G136">
            <v>12.28596527369228</v>
          </cell>
          <cell r="H136">
            <v>12.344886029526048</v>
          </cell>
          <cell r="I136">
            <v>12.306348092153476</v>
          </cell>
          <cell r="J136">
            <v>11.628152409728068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10.041223685638531</v>
          </cell>
          <cell r="E137">
            <v>14.453043263329771</v>
          </cell>
          <cell r="F137">
            <v>14.623559753709293</v>
          </cell>
          <cell r="G137">
            <v>13.065315323475653</v>
          </cell>
          <cell r="H137">
            <v>12.831035357766067</v>
          </cell>
          <cell r="I137">
            <v>12.43052793612406</v>
          </cell>
          <cell r="J137">
            <v>11.136706116748019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15.126840305611793</v>
          </cell>
          <cell r="E138">
            <v>12.667491562075725</v>
          </cell>
          <cell r="F138">
            <v>14.022075735167004</v>
          </cell>
          <cell r="G138">
            <v>11.866140023724482</v>
          </cell>
          <cell r="H138">
            <v>11.510923408014877</v>
          </cell>
          <cell r="I138">
            <v>11.052551831152329</v>
          </cell>
          <cell r="J138">
            <v>10.083965823519993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5.5539025125106321</v>
          </cell>
          <cell r="E139">
            <v>6.0159365545758909</v>
          </cell>
          <cell r="F139">
            <v>4.9230940448618936</v>
          </cell>
          <cell r="G139">
            <v>6.237591749533359</v>
          </cell>
          <cell r="H139">
            <v>6.4649061135002359</v>
          </cell>
          <cell r="I139">
            <v>6.7820617817472328</v>
          </cell>
          <cell r="J139">
            <v>6.2438093414658038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5.5539025125106321</v>
          </cell>
          <cell r="E140">
            <v>6.0159365545758909</v>
          </cell>
          <cell r="F140">
            <v>4.9230940448618936</v>
          </cell>
          <cell r="G140">
            <v>6.237591749533359</v>
          </cell>
          <cell r="H140">
            <v>6.4649061135002359</v>
          </cell>
          <cell r="I140">
            <v>6.7820617817472328</v>
          </cell>
          <cell r="J140">
            <v>6.2438093414658038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5.61000253788953</v>
          </cell>
          <cell r="E141">
            <v>6.076703590480701</v>
          </cell>
          <cell r="F141">
            <v>6.002955333082598</v>
          </cell>
          <cell r="G141">
            <v>7.5711791153067747</v>
          </cell>
          <cell r="H141">
            <v>7.8470929349638707</v>
          </cell>
          <cell r="I141">
            <v>8.232055989320946</v>
          </cell>
          <cell r="J141">
            <v>7.5787260186753693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2.71435491465811E-8</v>
          </cell>
          <cell r="E142">
            <v>5.4033259932907501E-2</v>
          </cell>
          <cell r="F142">
            <v>6.1119142539456099E-2</v>
          </cell>
          <cell r="G142">
            <v>0.18230872723087199</v>
          </cell>
          <cell r="H142">
            <v>0.56508472198329396</v>
          </cell>
          <cell r="I142">
            <v>0.218576350596945</v>
          </cell>
          <cell r="J142">
            <v>0.49101364053748198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0.8497002800737542</v>
          </cell>
          <cell r="E143">
            <v>0.84913834671728461</v>
          </cell>
          <cell r="F143">
            <v>0.57770078312116402</v>
          </cell>
          <cell r="G143">
            <v>0.71382397897827798</v>
          </cell>
          <cell r="H143">
            <v>0.8496968533010929</v>
          </cell>
          <cell r="I143">
            <v>0.8496977692936778</v>
          </cell>
          <cell r="J143">
            <v>0.84969628752746751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3.1270961025836781E-5</v>
          </cell>
          <cell r="E144">
            <v>1.2561130289453314E-5</v>
          </cell>
          <cell r="F144">
            <v>0.232999519608629</v>
          </cell>
          <cell r="G144">
            <v>1.4919918631517812E-3</v>
          </cell>
          <cell r="H144">
            <v>2.1559428554083025E-3</v>
          </cell>
          <cell r="I144">
            <v>0.20009993059685563</v>
          </cell>
          <cell r="J144">
            <v>0.70373431307845236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3.1270649847840115E-5</v>
          </cell>
          <cell r="E145">
            <v>1.0951230066434771E-5</v>
          </cell>
          <cell r="F145">
            <v>0.3007101881624335</v>
          </cell>
          <cell r="G145">
            <v>1.8988650116352709E-3</v>
          </cell>
          <cell r="H145">
            <v>2.6644952202570407E-3</v>
          </cell>
          <cell r="I145">
            <v>0.23547341588209039</v>
          </cell>
          <cell r="J145">
            <v>0.7819889338745436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2.31873149835814E-3</v>
          </cell>
          <cell r="E146">
            <v>0.17510671779841999</v>
          </cell>
          <cell r="F146">
            <v>6.6251481563854304E-5</v>
          </cell>
          <cell r="G146">
            <v>2.6524074579702E-2</v>
          </cell>
          <cell r="H146">
            <v>9.6523184686785293E-2</v>
          </cell>
          <cell r="I146">
            <v>0.101026864856607</v>
          </cell>
          <cell r="J146">
            <v>0.112093038545965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2.31873149835814E-3</v>
          </cell>
          <cell r="E147">
            <v>0.17742290817238418</v>
          </cell>
          <cell r="F147">
            <v>0.17748693324528117</v>
          </cell>
          <cell r="G147">
            <v>0.20401037545208034</v>
          </cell>
          <cell r="H147">
            <v>0.2134187628605165</v>
          </cell>
          <cell r="I147">
            <v>0.21567197884094066</v>
          </cell>
          <cell r="J147">
            <v>0.226235905458746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3.0412126699181229E-3</v>
          </cell>
          <cell r="E148">
            <v>1.130682481855673E-3</v>
          </cell>
          <cell r="F148">
            <v>1.2547183036076249E-3</v>
          </cell>
          <cell r="G148">
            <v>0.19622404058393761</v>
          </cell>
          <cell r="H148">
            <v>1.5304612416766571E-3</v>
          </cell>
          <cell r="I148">
            <v>0.58897572666710218</v>
          </cell>
          <cell r="J148">
            <v>0.51855939123530748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2.8365824731020464</v>
          </cell>
          <cell r="E149">
            <v>3.2933258434313033</v>
          </cell>
          <cell r="F149">
            <v>9.9649465371664192</v>
          </cell>
          <cell r="G149">
            <v>17.705810875256404</v>
          </cell>
          <cell r="H149">
            <v>18.813548825739069</v>
          </cell>
          <cell r="I149">
            <v>23.623501001247561</v>
          </cell>
          <cell r="J149">
            <v>25.477189194947272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3.2944552183122862</v>
          </cell>
          <cell r="F150">
            <v>9.9662012554700325</v>
          </cell>
          <cell r="G150">
            <v>17.902034915840346</v>
          </cell>
          <cell r="H150">
            <v>18.815079286980769</v>
          </cell>
          <cell r="I150">
            <v>24.21247672791467</v>
          </cell>
          <cell r="J150">
            <v>25.995748586182579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689.47333229352</v>
          </cell>
          <cell r="E151">
            <v>659.57574993944195</v>
          </cell>
          <cell r="F151">
            <v>660.41030239306599</v>
          </cell>
          <cell r="G151">
            <v>437.36426810778102</v>
          </cell>
          <cell r="H151">
            <v>315.13938624628503</v>
          </cell>
          <cell r="I151">
            <v>264.97801863963002</v>
          </cell>
          <cell r="J151">
            <v>2.5950384543900598E-4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9.1988917793101805</v>
          </cell>
          <cell r="E152">
            <v>8.8000008988996115</v>
          </cell>
          <cell r="F152">
            <v>8.8111965160139842</v>
          </cell>
          <cell r="G152">
            <v>7.1023341215044216</v>
          </cell>
          <cell r="H152">
            <v>5.471624017834019</v>
          </cell>
          <cell r="I152">
            <v>4.8023713125643139</v>
          </cell>
          <cell r="J152">
            <v>1.2670649164267145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9.3551334096814145</v>
          </cell>
          <cell r="E153">
            <v>8.9494674347278504</v>
          </cell>
          <cell r="F153">
            <v>8.9607910772464852</v>
          </cell>
          <cell r="G153">
            <v>5.9343862701191412</v>
          </cell>
          <cell r="H153">
            <v>4.2759753900445636</v>
          </cell>
          <cell r="I153">
            <v>3.5953598187195452</v>
          </cell>
          <cell r="J153">
            <v>3.5210833845183976E-6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6.4625858910560241E-5</v>
          </cell>
          <cell r="G154">
            <v>1.2885798024078323</v>
          </cell>
          <cell r="H154">
            <v>1.2885832418532213</v>
          </cell>
          <cell r="I154">
            <v>1.2885840532089012</v>
          </cell>
          <cell r="J154">
            <v>1.2885863485936855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0.16413916646741217</v>
          </cell>
          <cell r="G155">
            <v>0.2582648772228967</v>
          </cell>
          <cell r="H155">
            <v>0.34844676295220939</v>
          </cell>
          <cell r="I155">
            <v>0.41258636189921444</v>
          </cell>
          <cell r="J155">
            <v>0.33331322882426673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0.16397519127613613</v>
          </cell>
          <cell r="G156">
            <v>0.25800687035254427</v>
          </cell>
          <cell r="H156">
            <v>0.34809866428792141</v>
          </cell>
          <cell r="I156">
            <v>0.41217418771150299</v>
          </cell>
          <cell r="J156">
            <v>0.33298024857569136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0.16400218040883979</v>
          </cell>
          <cell r="G157">
            <v>0.25802674445461532</v>
          </cell>
          <cell r="H157">
            <v>0.34811439155189089</v>
          </cell>
          <cell r="I157">
            <v>0.41218419233928266</v>
          </cell>
          <cell r="J157">
            <v>0.33299007435267586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1.7166084753981598E-5</v>
          </cell>
          <cell r="E158">
            <v>1.4647661899700901E-5</v>
          </cell>
          <cell r="F158">
            <v>2.9797568095632301E-2</v>
          </cell>
          <cell r="G158">
            <v>2.1705366626191699E-2</v>
          </cell>
          <cell r="H158">
            <v>1.2275693982433101E-2</v>
          </cell>
          <cell r="I158">
            <v>4.5771271182266503E-2</v>
          </cell>
          <cell r="J158">
            <v>2.98329686435817E-2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1.7166084753981598E-5</v>
          </cell>
          <cell r="E159">
            <v>4.4741047457910185E-7</v>
          </cell>
          <cell r="F159">
            <v>2.9791693719590135E-2</v>
          </cell>
          <cell r="G159">
            <v>5.1485265599221668E-2</v>
          </cell>
          <cell r="H159">
            <v>6.3703760872436579E-2</v>
          </cell>
          <cell r="I159">
            <v>7.8041855154463408E-2</v>
          </cell>
          <cell r="J159">
            <v>6.8174611749524536E-2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2.2821245781751956E-4</v>
          </cell>
          <cell r="E160">
            <v>0.53729858974567957</v>
          </cell>
          <cell r="F160">
            <v>0.39587964525785108</v>
          </cell>
          <cell r="G160">
            <v>0.53705298047721473</v>
          </cell>
          <cell r="H160">
            <v>0.53705176781236252</v>
          </cell>
          <cell r="I160">
            <v>0.53712151722178147</v>
          </cell>
          <cell r="J160">
            <v>0.31058895710559242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2.2821245781751956E-4</v>
          </cell>
          <cell r="E161">
            <v>0.53729858974567957</v>
          </cell>
          <cell r="F161">
            <v>0.39587964525785108</v>
          </cell>
          <cell r="G161">
            <v>0.53705298047721473</v>
          </cell>
          <cell r="H161">
            <v>0.53705176781236252</v>
          </cell>
          <cell r="I161">
            <v>0.53712151722178147</v>
          </cell>
          <cell r="J161">
            <v>0.31058895710559242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2.2133203756604901E-5</v>
          </cell>
          <cell r="E162">
            <v>3.7915946133424402E-2</v>
          </cell>
          <cell r="F162">
            <v>3.9178023473802099E-8</v>
          </cell>
          <cell r="G162">
            <v>6.6132017535730996E-8</v>
          </cell>
          <cell r="H162">
            <v>9.0318182566724202E-8</v>
          </cell>
          <cell r="I162">
            <v>1.10542418267666E-7</v>
          </cell>
          <cell r="J162">
            <v>3.0290391119492798E-6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2.2133203756604901E-5</v>
          </cell>
          <cell r="E163">
            <v>3.7938079337180998E-2</v>
          </cell>
          <cell r="F163">
            <v>3.7937569120620879E-2</v>
          </cell>
          <cell r="G163">
            <v>3.7937971365379991E-2</v>
          </cell>
          <cell r="H163">
            <v>3.7937992346956571E-2</v>
          </cell>
          <cell r="I163">
            <v>3.7938149100082336E-2</v>
          </cell>
          <cell r="J163">
            <v>2.1933584897537169E-2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1.675495647176378E-3</v>
          </cell>
          <cell r="G164">
            <v>1.6624000608137181E-3</v>
          </cell>
          <cell r="H164">
            <v>1.9658087739130637E-3</v>
          </cell>
          <cell r="I164">
            <v>2.9994766156085937E-3</v>
          </cell>
          <cell r="J164">
            <v>2.9622486190288397E-3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1.675495647176378E-3</v>
          </cell>
          <cell r="G165">
            <v>1.6624000608137181E-3</v>
          </cell>
          <cell r="H165">
            <v>1.9658087739130637E-3</v>
          </cell>
          <cell r="I165">
            <v>2.9994766156085937E-3</v>
          </cell>
          <cell r="J165">
            <v>2.9622486190288397E-3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3.8078992125544898E-8</v>
          </cell>
          <cell r="F166">
            <v>1.30423256539042E-4</v>
          </cell>
          <cell r="G166">
            <v>1.5183655292755399E-7</v>
          </cell>
          <cell r="H166">
            <v>2.34549842342435E-5</v>
          </cell>
          <cell r="I166">
            <v>7.8825286587193204E-5</v>
          </cell>
          <cell r="J166">
            <v>4.1561655426342101E-8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3.8078992125544898E-8</v>
          </cell>
          <cell r="F167">
            <v>1.3043586689655132E-4</v>
          </cell>
          <cell r="G167">
            <v>1.3056522406242402E-4</v>
          </cell>
          <cell r="H167">
            <v>1.5397722748544188E-4</v>
          </cell>
          <cell r="I167">
            <v>2.3281165830803932E-4</v>
          </cell>
          <cell r="J167">
            <v>2.3293500456095901E-4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1.10135884206642E-4</v>
          </cell>
          <cell r="E168">
            <v>0.15960438284441106</v>
          </cell>
          <cell r="F168">
            <v>0.10224566247387978</v>
          </cell>
          <cell r="G168">
            <v>0.15935104034323405</v>
          </cell>
          <cell r="H168">
            <v>0.15935025905495592</v>
          </cell>
          <cell r="I168">
            <v>0.1594233168522696</v>
          </cell>
          <cell r="J168">
            <v>9.2223536637079967E-2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1.10135884206642E-4</v>
          </cell>
          <cell r="E169">
            <v>0.15960438284441106</v>
          </cell>
          <cell r="F169">
            <v>0.10224566247387978</v>
          </cell>
          <cell r="G169">
            <v>0.15935104034323405</v>
          </cell>
          <cell r="H169">
            <v>0.15935025905495592</v>
          </cell>
          <cell r="I169">
            <v>0.1594233168522696</v>
          </cell>
          <cell r="J169">
            <v>9.2223536637079967E-2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5.51002847322691E-6</v>
          </cell>
          <cell r="E170">
            <v>1.12622438897021E-2</v>
          </cell>
          <cell r="F170">
            <v>3.2303119909059002E-8</v>
          </cell>
          <cell r="G170">
            <v>5.0342817601902798E-8</v>
          </cell>
          <cell r="H170">
            <v>6.7214309615330199E-8</v>
          </cell>
          <cell r="I170">
            <v>9.5847704388913005E-8</v>
          </cell>
          <cell r="J170">
            <v>4.3545058883752798E-7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5.51002847322691E-6</v>
          </cell>
          <cell r="E171">
            <v>1.12677539181753E-2</v>
          </cell>
          <cell r="F171">
            <v>1.1267209089527776E-2</v>
          </cell>
          <cell r="G171">
            <v>1.1267619570593509E-2</v>
          </cell>
          <cell r="H171">
            <v>1.1267617912544946E-2</v>
          </cell>
          <cell r="I171">
            <v>1.1267761562454657E-2</v>
          </cell>
          <cell r="J171">
            <v>6.5140730641083198E-3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28.619772189548002</v>
          </cell>
          <cell r="E172">
            <v>25.951697793646559</v>
          </cell>
          <cell r="F172">
            <v>27.590859901602798</v>
          </cell>
          <cell r="G172">
            <v>19.390613826455084</v>
          </cell>
          <cell r="H172">
            <v>10.298364852537759</v>
          </cell>
          <cell r="I172">
            <v>5.8245193888006197</v>
          </cell>
          <cell r="J172">
            <v>1.290834729612762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2005.15338153379</v>
          </cell>
          <cell r="E173">
            <v>1816.6331195827599</v>
          </cell>
          <cell r="F173">
            <v>1928.8450905857101</v>
          </cell>
          <cell r="G173">
            <v>1352.6219454245499</v>
          </cell>
          <cell r="H173">
            <v>716.81645395101305</v>
          </cell>
          <cell r="I173">
            <v>404.535518588895</v>
          </cell>
          <cell r="J173">
            <v>89.266204988545098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35.552364920811968</v>
          </cell>
          <cell r="E174">
            <v>32.20980708480073</v>
          </cell>
          <cell r="F174">
            <v>34.199381038753721</v>
          </cell>
          <cell r="G174">
            <v>23.982658606818198</v>
          </cell>
          <cell r="H174">
            <v>12.709511594876119</v>
          </cell>
          <cell r="I174">
            <v>7.1726155778172975</v>
          </cell>
          <cell r="J174">
            <v>1.5827341310025727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5.08556915481791E-5</v>
          </cell>
          <cell r="F175">
            <v>2.0501973775670598E-5</v>
          </cell>
          <cell r="G175">
            <v>2.0938049380203301E-5</v>
          </cell>
          <cell r="H175">
            <v>0.30872723414370301</v>
          </cell>
          <cell r="I175">
            <v>3.82598478172591E-2</v>
          </cell>
          <cell r="J175">
            <v>1.05906745791256E-5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1.5565881095748346</v>
          </cell>
          <cell r="F176">
            <v>1.5565640983251243</v>
          </cell>
          <cell r="G176">
            <v>1.2343872791924231</v>
          </cell>
          <cell r="H176">
            <v>0.62878618963289401</v>
          </cell>
          <cell r="I176">
            <v>0.34698442986019645</v>
          </cell>
          <cell r="J176">
            <v>0.1045829581274233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2.1544711056610717E-2</v>
          </cell>
          <cell r="F177">
            <v>3.5170031741635196E-5</v>
          </cell>
          <cell r="G177">
            <v>1.1214534719500692E-4</v>
          </cell>
          <cell r="H177">
            <v>1.2099670197318847E-4</v>
          </cell>
          <cell r="I177">
            <v>1.4645990175119394E-4</v>
          </cell>
          <cell r="J177">
            <v>2.6044938517906773E-4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2.1544711056610717E-2</v>
          </cell>
          <cell r="F178">
            <v>3.5170031741635196E-5</v>
          </cell>
          <cell r="G178">
            <v>1.1214534719500692E-4</v>
          </cell>
          <cell r="H178">
            <v>1.2099670197318847E-4</v>
          </cell>
          <cell r="I178">
            <v>1.4645990175119394E-4</v>
          </cell>
          <cell r="J178">
            <v>2.6044938517906773E-4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3.1603798976726802E-3</v>
          </cell>
          <cell r="F179">
            <v>3.5047356970826601E-5</v>
          </cell>
          <cell r="G179">
            <v>4.8181843924634797E-5</v>
          </cell>
          <cell r="H179">
            <v>1.35422544697255E-4</v>
          </cell>
          <cell r="I179">
            <v>4.60711730395359E-5</v>
          </cell>
          <cell r="J179">
            <v>7.4798853812752593E-5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3.1603798976726802E-3</v>
          </cell>
          <cell r="F180">
            <v>1.6078788042457502E-3</v>
          </cell>
          <cell r="G180">
            <v>1.6157151854645799E-3</v>
          </cell>
          <cell r="H180">
            <v>1.004354839715151E-3</v>
          </cell>
          <cell r="I180">
            <v>2.1986794081248659E-4</v>
          </cell>
          <cell r="J180">
            <v>1.6518721622656499E-4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1.4011302328469051</v>
          </cell>
          <cell r="E181">
            <v>1.6077989058746682</v>
          </cell>
          <cell r="F181">
            <v>0.39862639423284135</v>
          </cell>
          <cell r="G181">
            <v>0.49053606655726228</v>
          </cell>
          <cell r="H181">
            <v>0.51752671731994293</v>
          </cell>
          <cell r="I181">
            <v>0.5342919127953637</v>
          </cell>
          <cell r="J181">
            <v>0.42036270541281978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1.4011302328469051</v>
          </cell>
          <cell r="E182">
            <v>1.6077989058746682</v>
          </cell>
          <cell r="F182">
            <v>0.39862639423284135</v>
          </cell>
          <cell r="G182">
            <v>0.49053606655726228</v>
          </cell>
          <cell r="H182">
            <v>0.51752671731994293</v>
          </cell>
          <cell r="I182">
            <v>0.5342919127953637</v>
          </cell>
          <cell r="J182">
            <v>0.42036270541281978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1.5568113698298949</v>
          </cell>
          <cell r="E183">
            <v>1.786443228749631</v>
          </cell>
          <cell r="F183">
            <v>0.54044515186995534</v>
          </cell>
          <cell r="G183">
            <v>0.66505340043634498</v>
          </cell>
          <cell r="H183">
            <v>0.70146203153417108</v>
          </cell>
          <cell r="I183">
            <v>0.72418578218062502</v>
          </cell>
          <cell r="J183">
            <v>0.56539545333646501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2.3358480959333399E-6</v>
          </cell>
          <cell r="E184">
            <v>1.47159061844515E-2</v>
          </cell>
          <cell r="F184">
            <v>1.6695897188534399E-7</v>
          </cell>
          <cell r="G184">
            <v>7.9088713705252605E-7</v>
          </cell>
          <cell r="H184">
            <v>1.6758717994086299E-2</v>
          </cell>
          <cell r="I184">
            <v>2.1005702763897099E-2</v>
          </cell>
          <cell r="J184">
            <v>7.4182538739961199E-3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9.9701391968376532E-2</v>
          </cell>
          <cell r="E185">
            <v>0.11441724151368797</v>
          </cell>
          <cell r="F185">
            <v>6.2137674549281298E-2</v>
          </cell>
          <cell r="G185">
            <v>6.2136815832918101E-2</v>
          </cell>
          <cell r="H185">
            <v>3.659558722414899E-2</v>
          </cell>
          <cell r="I185">
            <v>3.776467951742464E-2</v>
          </cell>
          <cell r="J185">
            <v>2.9751427956901094E-2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9.2224637045972121E-4</v>
          </cell>
          <cell r="F186">
            <v>4.8353600012442154E-4</v>
          </cell>
          <cell r="G186">
            <v>7.8009483245807258E-4</v>
          </cell>
          <cell r="H186">
            <v>7.8980546017888662E-4</v>
          </cell>
          <cell r="I186">
            <v>8.142001497401239E-4</v>
          </cell>
          <cell r="J186">
            <v>5.0567870536497191E-4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9.2224637045972121E-4</v>
          </cell>
          <cell r="F187">
            <v>4.8353600012442154E-4</v>
          </cell>
          <cell r="G187">
            <v>7.8009483245807258E-4</v>
          </cell>
          <cell r="H187">
            <v>7.8980546017888662E-4</v>
          </cell>
          <cell r="I187">
            <v>8.142001497401239E-4</v>
          </cell>
          <cell r="J187">
            <v>5.0567870536497191E-4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6.2612943766517101E-5</v>
          </cell>
          <cell r="F188">
            <v>3.0658399057642399E-8</v>
          </cell>
          <cell r="G188">
            <v>4.3998557522879603E-8</v>
          </cell>
          <cell r="H188">
            <v>5.5965837802536901E-8</v>
          </cell>
          <cell r="I188">
            <v>7.6508425819740506E-8</v>
          </cell>
          <cell r="J188">
            <v>2.0797618167334101E-7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6.2612943766517101E-5</v>
          </cell>
          <cell r="F189">
            <v>6.2545528879802181E-5</v>
          </cell>
          <cell r="G189">
            <v>6.2591544789195768E-5</v>
          </cell>
          <cell r="H189">
            <v>6.2589368149445845E-5</v>
          </cell>
          <cell r="I189">
            <v>6.2666165042718003E-5</v>
          </cell>
          <cell r="J189">
            <v>3.6551720782950391E-5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3.4485618598948623E-4</v>
          </cell>
          <cell r="F190">
            <v>1.9084458708221066E-4</v>
          </cell>
          <cell r="G190">
            <v>2.5661015105303575E-4</v>
          </cell>
          <cell r="H190">
            <v>2.6909264758938356E-4</v>
          </cell>
          <cell r="I190">
            <v>2.7620283237971959E-4</v>
          </cell>
          <cell r="J190">
            <v>1.8105220999847479E-4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3.4485618598948623E-4</v>
          </cell>
          <cell r="F191">
            <v>1.9084458708221066E-4</v>
          </cell>
          <cell r="G191">
            <v>2.5661015105303575E-4</v>
          </cell>
          <cell r="H191">
            <v>2.6909264758938356E-4</v>
          </cell>
          <cell r="I191">
            <v>2.7620283237971959E-4</v>
          </cell>
          <cell r="J191">
            <v>1.8105220999847479E-4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2.1820780926381501E-5</v>
          </cell>
          <cell r="F192">
            <v>3.3461822313841498E-8</v>
          </cell>
          <cell r="G192">
            <v>4.4295746849992401E-8</v>
          </cell>
          <cell r="H192">
            <v>5.3187950225278302E-8</v>
          </cell>
          <cell r="I192">
            <v>6.1808704711966602E-8</v>
          </cell>
          <cell r="J192">
            <v>1.0480537312842199E-7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2.1820780926381501E-5</v>
          </cell>
          <cell r="F193">
            <v>2.1805486102872377E-5</v>
          </cell>
          <cell r="G193">
            <v>2.1833358209951358E-5</v>
          </cell>
          <cell r="H193">
            <v>2.1845836679493176E-5</v>
          </cell>
          <cell r="I193">
            <v>2.1898579939234408E-5</v>
          </cell>
          <cell r="J193">
            <v>1.2868541724862828E-5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7.3953233908864623E-5</v>
          </cell>
          <cell r="F194">
            <v>5.6101790117165248E-5</v>
          </cell>
          <cell r="G194">
            <v>5.0569112215422999E-5</v>
          </cell>
          <cell r="H194">
            <v>6.2322409477470734E-5</v>
          </cell>
          <cell r="I194">
            <v>5.680741037134857E-5</v>
          </cell>
          <cell r="J194">
            <v>4.063057664863422E-5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7.3953233908864623E-5</v>
          </cell>
          <cell r="F195">
            <v>5.6101790117165248E-5</v>
          </cell>
          <cell r="G195">
            <v>5.0569112215422999E-5</v>
          </cell>
          <cell r="H195">
            <v>6.2322409477470734E-5</v>
          </cell>
          <cell r="I195">
            <v>5.680741037134857E-5</v>
          </cell>
          <cell r="J195">
            <v>4.063057664863422E-5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2.66656538434489E-6</v>
          </cell>
          <cell r="F196">
            <v>6.0476848809229997E-8</v>
          </cell>
          <cell r="G196">
            <v>6.5905586126520704E-8</v>
          </cell>
          <cell r="H196">
            <v>4.3014497936192999E-8</v>
          </cell>
          <cell r="I196">
            <v>2.8357966319079999E-8</v>
          </cell>
          <cell r="J196">
            <v>4.3165117678924797E-8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2.66656538434489E-6</v>
          </cell>
          <cell r="F197">
            <v>2.7092830157316128E-6</v>
          </cell>
          <cell r="G197">
            <v>2.7661523549278666E-6</v>
          </cell>
          <cell r="H197">
            <v>2.7883181590439533E-6</v>
          </cell>
          <cell r="I197">
            <v>2.8096206771190997E-6</v>
          </cell>
          <cell r="J197">
            <v>1.7627053024091508E-6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9.157820643797459</v>
          </cell>
          <cell r="E198">
            <v>10.275911324128328</v>
          </cell>
          <cell r="F198">
            <v>20.476927209355498</v>
          </cell>
          <cell r="G198">
            <v>28.335689935713479</v>
          </cell>
          <cell r="H198">
            <v>31.373318241748191</v>
          </cell>
          <cell r="I198">
            <v>34.228293644710114</v>
          </cell>
          <cell r="J198">
            <v>33.020657184670156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2.8618189511867063</v>
          </cell>
          <cell r="E199">
            <v>3.1585793004492855</v>
          </cell>
          <cell r="F199">
            <v>7.0787205053738917</v>
          </cell>
          <cell r="G199">
            <v>8.8451973782954916</v>
          </cell>
          <cell r="H199">
            <v>9.2319611321600057</v>
          </cell>
          <cell r="I199">
            <v>9.5309239989830896</v>
          </cell>
          <cell r="J199">
            <v>8.3103681339987059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9.157820643797459</v>
          </cell>
          <cell r="E200">
            <v>10.275911324128328</v>
          </cell>
          <cell r="F200">
            <v>20.476927209355498</v>
          </cell>
          <cell r="G200">
            <v>28.335689935713479</v>
          </cell>
          <cell r="H200">
            <v>31.373318241748191</v>
          </cell>
          <cell r="I200">
            <v>34.228293644710114</v>
          </cell>
          <cell r="J200">
            <v>33.020657184670156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9.2917840608915496E-8</v>
          </cell>
          <cell r="E201">
            <v>9.0328813715449E-2</v>
          </cell>
          <cell r="F201">
            <v>0.82417252073235803</v>
          </cell>
          <cell r="G201">
            <v>0.63487792407666899</v>
          </cell>
          <cell r="H201">
            <v>0.83745265663552804</v>
          </cell>
          <cell r="I201">
            <v>1.3482083173054999</v>
          </cell>
          <cell r="J201">
            <v>1.3349907332545199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0.7398380208432056</v>
          </cell>
          <cell r="E202">
            <v>0.83016677228413183</v>
          </cell>
          <cell r="F202">
            <v>1.6543390377995979</v>
          </cell>
          <cell r="G202">
            <v>2.2892168221273552</v>
          </cell>
          <cell r="H202">
            <v>2.5346472816667358</v>
          </cell>
          <cell r="I202">
            <v>2.7652526439905674</v>
          </cell>
          <cell r="J202">
            <v>2.6676685860533897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3.2399054330157719</v>
          </cell>
          <cell r="E203">
            <v>3.6354614302654071</v>
          </cell>
          <cell r="F203">
            <v>5.0635081539528972</v>
          </cell>
          <cell r="G203">
            <v>9.2050367670235538</v>
          </cell>
          <cell r="H203">
            <v>12.140650128449424</v>
          </cell>
          <cell r="I203">
            <v>15.345921066036706</v>
          </cell>
          <cell r="J203">
            <v>18.21087861447003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1.1489026358211949</v>
          </cell>
          <cell r="E204">
            <v>1.286433627128593</v>
          </cell>
          <cell r="F204">
            <v>2.6859228983560364</v>
          </cell>
          <cell r="G204">
            <v>4.2682599689386986</v>
          </cell>
          <cell r="H204">
            <v>5.2330971643278312</v>
          </cell>
          <cell r="I204">
            <v>6.2224893077696155</v>
          </cell>
          <cell r="J204">
            <v>6.6339890515673696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2.1726519195995199E-6</v>
          </cell>
          <cell r="E205">
            <v>3.2778500939232097E-2</v>
          </cell>
          <cell r="F205">
            <v>8.91418520631891E-2</v>
          </cell>
          <cell r="G205">
            <v>0.29258454177311799</v>
          </cell>
          <cell r="H205">
            <v>0.37598215135540702</v>
          </cell>
          <cell r="I205">
            <v>0.45731008453695399</v>
          </cell>
          <cell r="J205">
            <v>0.75381641804344302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0.2133548350711606</v>
          </cell>
          <cell r="E206">
            <v>0.24613315931512936</v>
          </cell>
          <cell r="F206">
            <v>0.33527475080859587</v>
          </cell>
          <cell r="G206">
            <v>0.62785904229277956</v>
          </cell>
          <cell r="H206">
            <v>0.82983150670049732</v>
          </cell>
          <cell r="I206">
            <v>1.0489119796987476</v>
          </cell>
          <cell r="J206">
            <v>1.2447399347290935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5.6086429510239393</v>
          </cell>
          <cell r="E207">
            <v>6.0095211590511362</v>
          </cell>
          <cell r="F207">
            <v>6.3256244364645342</v>
          </cell>
          <cell r="G207">
            <v>6.6360312834111879</v>
          </cell>
          <cell r="H207">
            <v>6.1817457692188675</v>
          </cell>
          <cell r="I207">
            <v>7.6134987576557087</v>
          </cell>
          <cell r="J207">
            <v>13.385755581230022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2.1480982664894157E-4</v>
          </cell>
          <cell r="F208">
            <v>8.5190764037653701E-4</v>
          </cell>
          <cell r="G208">
            <v>1.9139779202279406E-3</v>
          </cell>
          <cell r="H208">
            <v>1.142547603228525E-2</v>
          </cell>
          <cell r="I208">
            <v>1.7732123452618171E-2</v>
          </cell>
          <cell r="J208">
            <v>1.3585703830417775E-3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5.6086429510239393</v>
          </cell>
          <cell r="E209">
            <v>6.0097359688777816</v>
          </cell>
          <cell r="F209">
            <v>6.3264763441049068</v>
          </cell>
          <cell r="G209">
            <v>6.6379452613314154</v>
          </cell>
          <cell r="H209">
            <v>6.1931712452511505</v>
          </cell>
          <cell r="I209">
            <v>7.6312308811083316</v>
          </cell>
          <cell r="J209">
            <v>13.387114151613069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3.6434695440948152E-5</v>
          </cell>
          <cell r="F210">
            <v>3.5075491478073698E-5</v>
          </cell>
          <cell r="G210">
            <v>2.3317256506939882E-5</v>
          </cell>
          <cell r="H210">
            <v>3.5877508066162277E-5</v>
          </cell>
          <cell r="I210">
            <v>2.7965117507794593E-5</v>
          </cell>
          <cell r="J210">
            <v>1.8605257429103464E-5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3.6434695440948152E-5</v>
          </cell>
          <cell r="F211">
            <v>3.5075491478073698E-5</v>
          </cell>
          <cell r="G211">
            <v>2.3317256506939882E-5</v>
          </cell>
          <cell r="H211">
            <v>3.5877508066162277E-5</v>
          </cell>
          <cell r="I211">
            <v>2.7965117507794593E-5</v>
          </cell>
          <cell r="J211">
            <v>1.8605257429103464E-5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/>
          <cell r="I212"/>
          <cell r="J212">
            <v>1.0069928525804901E-8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-1.10720909399285E-8</v>
          </cell>
          <cell r="G213"/>
          <cell r="H213">
            <v>-3.0738861273994102E-8</v>
          </cell>
          <cell r="I213"/>
          <cell r="J213">
            <v>1.0069928525804901E-8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4.2612262153815461</v>
          </cell>
          <cell r="E214">
            <v>4.6176534001566898</v>
          </cell>
          <cell r="F214">
            <v>5.3987016337382618</v>
          </cell>
          <cell r="G214">
            <v>14.224293536907727</v>
          </cell>
          <cell r="H214">
            <v>19.289192342769457</v>
          </cell>
          <cell r="I214">
            <v>25.290926945491904</v>
          </cell>
          <cell r="J214">
            <v>27.301900962503321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4.2612262153815461</v>
          </cell>
          <cell r="E215">
            <v>4.6176534001566898</v>
          </cell>
          <cell r="F215">
            <v>5.3987016337382618</v>
          </cell>
          <cell r="G215">
            <v>14.224293536907727</v>
          </cell>
          <cell r="H215">
            <v>19.289192342769457</v>
          </cell>
          <cell r="I215">
            <v>25.290926945491904</v>
          </cell>
          <cell r="J215">
            <v>27.301900962503321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1.3316331923067322</v>
          </cell>
          <cell r="E216">
            <v>1.4252016667150276</v>
          </cell>
          <cell r="F216">
            <v>1.8941791642875603</v>
          </cell>
          <cell r="G216">
            <v>4.2801276602325551</v>
          </cell>
          <cell r="H216">
            <v>5.5145683603166686</v>
          </cell>
          <cell r="I216">
            <v>6.8880510124109025</v>
          </cell>
          <cell r="J216">
            <v>6.9989553341912938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1.66011875849369E-7</v>
          </cell>
          <cell r="E217">
            <v>3.42044826422894E-7</v>
          </cell>
          <cell r="F217">
            <v>1.1373582114426999E-6</v>
          </cell>
          <cell r="G217">
            <v>0.66895373042426298</v>
          </cell>
          <cell r="H217">
            <v>0.71057750468167102</v>
          </cell>
          <cell r="I217">
            <v>0.78754954186002901</v>
          </cell>
          <cell r="J217">
            <v>1.2441874368841701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0.43061747946566387</v>
          </cell>
          <cell r="E218">
            <v>0.43061663458658084</v>
          </cell>
          <cell r="F218">
            <v>0.4306176189897486</v>
          </cell>
          <cell r="G218">
            <v>1.0995717689613309</v>
          </cell>
          <cell r="H218">
            <v>1.4912051036199612</v>
          </cell>
          <cell r="I218">
            <v>1.9550129510685259</v>
          </cell>
          <cell r="J218">
            <v>2.116308776281111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6.6343502822257802E-2</v>
          </cell>
          <cell r="E219">
            <v>0.16861718563871014</v>
          </cell>
          <cell r="F219">
            <v>0.13727947324625883</v>
          </cell>
          <cell r="G219">
            <v>0.16531569201632465</v>
          </cell>
          <cell r="H219">
            <v>0.16736111193184317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4.1428984040181522E-3</v>
          </cell>
          <cell r="E220">
            <v>2.6424543843682181E-3</v>
          </cell>
          <cell r="F220">
            <v>2.7145292225658571E-3</v>
          </cell>
          <cell r="G220">
            <v>4.6017010330254406E-3</v>
          </cell>
          <cell r="H220">
            <v>3.059551819301043E-3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7.0486401226275919E-2</v>
          </cell>
          <cell r="E221">
            <v>0.17125964002307831</v>
          </cell>
          <cell r="F221">
            <v>0.13998611686209467</v>
          </cell>
          <cell r="G221">
            <v>0.16991219858824239</v>
          </cell>
          <cell r="H221">
            <v>0.17041272358063853</v>
          </cell>
          <cell r="I221"/>
          <cell r="J221"/>
        </row>
        <row r="222">
          <cell r="A222" t="str">
            <v>RHNS-SHELCBR</v>
          </cell>
          <cell r="B222" t="str">
            <v>VAR_fout</v>
          </cell>
          <cell r="C222" t="str">
            <v>RHNS-SHAELCB</v>
          </cell>
          <cell r="D222"/>
          <cell r="E222">
            <v>6.9062966859682925E-2</v>
          </cell>
          <cell r="F222">
            <v>4.3995924423775069E-3</v>
          </cell>
          <cell r="G222">
            <v>9.9352734096528183E-3</v>
          </cell>
          <cell r="H222">
            <v>1.0260524368284127E-2</v>
          </cell>
          <cell r="I222">
            <v>1.0474188241740573E-2</v>
          </cell>
          <cell r="J222">
            <v>8.2132412787938747E-3</v>
          </cell>
          <cell r="K222"/>
        </row>
        <row r="223">
          <cell r="A223" t="str">
            <v>RHNS-SHELCBR</v>
          </cell>
          <cell r="B223" t="str">
            <v>VAR_fin</v>
          </cell>
          <cell r="C223" t="str">
            <v>RHNS_ELC</v>
          </cell>
          <cell r="D223"/>
          <cell r="E223">
            <v>7.2697859852297819E-2</v>
          </cell>
          <cell r="F223">
            <v>4.6311499393447506E-3</v>
          </cell>
          <cell r="G223">
            <v>1.0458182536476649E-2</v>
          </cell>
          <cell r="H223">
            <v>1.0800551966614867E-2</v>
          </cell>
          <cell r="I223">
            <v>1.1025461307095343E-2</v>
          </cell>
          <cell r="J223">
            <v>8.6455171355725082E-3</v>
          </cell>
          <cell r="K223"/>
        </row>
        <row r="224">
          <cell r="A224" t="str">
            <v>RHNS-SHELCBR</v>
          </cell>
          <cell r="B224" t="str">
            <v>VAR_ncap</v>
          </cell>
          <cell r="C224" t="str">
            <v>-</v>
          </cell>
          <cell r="D224"/>
          <cell r="E224">
            <v>5.1871310337620697E-3</v>
          </cell>
          <cell r="F224"/>
          <cell r="G224"/>
          <cell r="H224">
            <v>1.6399967407099601E-3</v>
          </cell>
          <cell r="I224"/>
          <cell r="J224"/>
        </row>
        <row r="225">
          <cell r="A225" t="str">
            <v>RHNS-SHELCBR</v>
          </cell>
          <cell r="B225" t="str">
            <v>VAR_cap</v>
          </cell>
          <cell r="C225" t="str">
            <v>-</v>
          </cell>
          <cell r="D225"/>
          <cell r="E225">
            <v>5.1871310337620697E-3</v>
          </cell>
          <cell r="F225">
            <v>5.1825892764525688E-3</v>
          </cell>
          <cell r="G225">
            <v>5.1756577124431402E-3</v>
          </cell>
          <cell r="H225">
            <v>4.285843120152631E-3</v>
          </cell>
          <cell r="I225">
            <v>1.639766243282525E-3</v>
          </cell>
          <cell r="J225">
            <v>6.9335146248236364E-4</v>
          </cell>
        </row>
        <row r="226">
          <cell r="A226" t="str">
            <v>ITOT-SWHSTG-SOL</v>
          </cell>
          <cell r="B226" t="str">
            <v>VAR_fout</v>
          </cell>
          <cell r="C226" t="str">
            <v>ITOT-SWHASOL</v>
          </cell>
          <cell r="D226">
            <v>1.8261087550118946E-4</v>
          </cell>
          <cell r="E226">
            <v>1.6059022381572044E-4</v>
          </cell>
          <cell r="F226">
            <v>3.8512075107201217E-4</v>
          </cell>
          <cell r="G226">
            <v>3.1692495821212808E-4</v>
          </cell>
          <cell r="H226">
            <v>3.8471805817202529E-4</v>
          </cell>
          <cell r="I226">
            <v>8.2427698550178747E-4</v>
          </cell>
          <cell r="J226">
            <v>6.4697073094938714E-4</v>
          </cell>
        </row>
        <row r="227">
          <cell r="A227" t="str">
            <v>ITOT-SWHSTG-SOL</v>
          </cell>
          <cell r="B227" t="str">
            <v>VAR_fin</v>
          </cell>
          <cell r="C227" t="str">
            <v>ITOT-SWHASOL</v>
          </cell>
          <cell r="D227">
            <v>1.8708270891979964E-4</v>
          </cell>
          <cell r="E227">
            <v>1.4919175578439954E-4</v>
          </cell>
          <cell r="F227">
            <v>4.3127245846746821E-4</v>
          </cell>
          <cell r="G227">
            <v>3.4315280380186155E-4</v>
          </cell>
          <cell r="H227">
            <v>4.1649106779987721E-4</v>
          </cell>
          <cell r="I227">
            <v>9.2929096920215271E-4</v>
          </cell>
          <cell r="J227">
            <v>6.9547138465947541E-4</v>
          </cell>
          <cell r="K227"/>
        </row>
        <row r="228">
          <cell r="A228" t="str">
            <v>ITOT-SWHSTG-SOL</v>
          </cell>
          <cell r="B228" t="str">
            <v>VAR_ncap</v>
          </cell>
          <cell r="C228" t="str">
            <v>-</v>
          </cell>
          <cell r="D228">
            <v>2.5015402775466402E-5</v>
          </cell>
          <cell r="E228">
            <v>4.22970206502311E-8</v>
          </cell>
          <cell r="F228">
            <v>1.13386785210813E-5</v>
          </cell>
          <cell r="G228">
            <v>3.5774932229788099E-6</v>
          </cell>
          <cell r="H228">
            <v>1.8811402267254199E-5</v>
          </cell>
          <cell r="I228">
            <v>8.2121580706238394E-5</v>
          </cell>
          <cell r="J228">
            <v>4.5783039136997002E-7</v>
          </cell>
          <cell r="K228"/>
        </row>
        <row r="229">
          <cell r="A229" t="str">
            <v>ITOT-SWHSTG-SOL</v>
          </cell>
          <cell r="B229" t="str">
            <v>VAR_cap</v>
          </cell>
          <cell r="C229" t="str">
            <v>-</v>
          </cell>
          <cell r="D229">
            <v>2.5015402775466402E-5</v>
          </cell>
          <cell r="E229">
            <v>2.5057699796116699E-5</v>
          </cell>
          <cell r="F229">
            <v>3.6396378317197897E-5</v>
          </cell>
          <cell r="G229">
            <v>3.9973871540176703E-5</v>
          </cell>
          <cell r="H229">
            <v>4.0236601985438601E-5</v>
          </cell>
          <cell r="I229">
            <v>1.0538469041456601E-4</v>
          </cell>
          <cell r="J229">
            <v>6.8013337086871194E-5</v>
          </cell>
          <cell r="K229"/>
        </row>
        <row r="230">
          <cell r="A230" t="str">
            <v>RHES-SHLTHCHPNGA</v>
          </cell>
          <cell r="B230" t="str">
            <v>VAR_fout</v>
          </cell>
          <cell r="C230" t="str">
            <v>RHES-SHLTHC-NGA</v>
          </cell>
          <cell r="D230">
            <v>3.1121122131742601E-2</v>
          </cell>
          <cell r="E230">
            <v>5.2978279186135496E-3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RHESLTHCHPC</v>
          </cell>
          <cell r="D231">
            <v>3.1121122131742601E-2</v>
          </cell>
          <cell r="E231">
            <v>5.2978279186135496E-3</v>
          </cell>
          <cell r="F231"/>
          <cell r="G231"/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RHES_LTH_CHPNGA_ON</v>
          </cell>
          <cell r="D232">
            <v>3.1435476900750124E-2</v>
          </cell>
          <cell r="E232">
            <v>5.3513413319328787E-3</v>
          </cell>
          <cell r="F232"/>
          <cell r="G232"/>
          <cell r="H232"/>
          <cell r="I232"/>
          <cell r="J232"/>
        </row>
        <row r="233">
          <cell r="A233" t="str">
            <v>RHES-SHLTHCHPNGA</v>
          </cell>
          <cell r="B233" t="str">
            <v>VAR_ncap</v>
          </cell>
          <cell r="C233" t="str">
            <v>-</v>
          </cell>
          <cell r="D233"/>
          <cell r="E233">
            <v>3.9487069027747799E-4</v>
          </cell>
          <cell r="F233">
            <v>8.9878220813973504E-4</v>
          </cell>
          <cell r="G233">
            <v>6.3336261731481304E-4</v>
          </cell>
          <cell r="H233">
            <v>3.5700496229195002E-4</v>
          </cell>
          <cell r="I233">
            <v>9.1440929399310298E-5</v>
          </cell>
          <cell r="J233">
            <v>1.26924714266687E-8</v>
          </cell>
        </row>
        <row r="234">
          <cell r="A234" t="str">
            <v>RHES-SHLTHCHPNGA</v>
          </cell>
          <cell r="B234" t="str">
            <v>VAR_cap</v>
          </cell>
          <cell r="C234" t="str">
            <v>-</v>
          </cell>
          <cell r="D234">
            <v>5.3757649990155603E-3</v>
          </cell>
          <cell r="E234">
            <v>7.0727552952437774E-4</v>
          </cell>
          <cell r="F234">
            <v>1.3453618478424497E-3</v>
          </cell>
          <cell r="G234">
            <v>1.2316740964981301E-3</v>
          </cell>
          <cell r="H234">
            <v>7.3918384417886963E-4</v>
          </cell>
          <cell r="I234">
            <v>2.151933735756161E-4</v>
          </cell>
          <cell r="J234"/>
          <cell r="K234"/>
        </row>
        <row r="235">
          <cell r="A235" t="str">
            <v>RHSA-WHSTG-ELC</v>
          </cell>
          <cell r="B235" t="str">
            <v>VAR_fout</v>
          </cell>
          <cell r="C235" t="str">
            <v>RHSA-WHAELCB</v>
          </cell>
          <cell r="D235">
            <v>1.2289686108528761</v>
          </cell>
          <cell r="E235">
            <v>1.3081209892731038</v>
          </cell>
          <cell r="F235">
            <v>0.87020829555572687</v>
          </cell>
          <cell r="G235">
            <v>0.48989040253622851</v>
          </cell>
          <cell r="H235">
            <v>0.33911063283466258</v>
          </cell>
          <cell r="I235">
            <v>0.30820481286634227</v>
          </cell>
          <cell r="J235">
            <v>0.29856686690277245</v>
          </cell>
        </row>
        <row r="236">
          <cell r="A236" t="str">
            <v>RHSA-WHSTG-ELC</v>
          </cell>
          <cell r="B236" t="str">
            <v>VAR_fout</v>
          </cell>
          <cell r="C236" t="str">
            <v>AUX_RHSA-WHSTG-ELC_OUT</v>
          </cell>
          <cell r="D236">
            <v>1.2301975794637283</v>
          </cell>
          <cell r="E236">
            <v>1.3094291102623772</v>
          </cell>
          <cell r="F236">
            <v>0.87107850385128305</v>
          </cell>
          <cell r="G236">
            <v>0.49038029293876439</v>
          </cell>
          <cell r="H236">
            <v>0.33944974346749718</v>
          </cell>
          <cell r="I236">
            <v>0.30851301767920836</v>
          </cell>
          <cell r="J236">
            <v>0.29886543376967539</v>
          </cell>
          <cell r="K236"/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1.2289810352681354</v>
          </cell>
          <cell r="E237">
            <v>1.3081209874346134</v>
          </cell>
          <cell r="F237">
            <v>0.87020738854855484</v>
          </cell>
          <cell r="G237">
            <v>0.48988982619848831</v>
          </cell>
          <cell r="H237">
            <v>0.33911050429220763</v>
          </cell>
          <cell r="I237">
            <v>0.30820493121559289</v>
          </cell>
          <cell r="J237">
            <v>0.29856698627957995</v>
          </cell>
          <cell r="K237"/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0.11106530185713601</v>
          </cell>
          <cell r="E238">
            <v>3.1008283031667302E-5</v>
          </cell>
          <cell r="F238">
            <v>2.0668046815747201E-5</v>
          </cell>
          <cell r="G238">
            <v>2.7506660712294799E-5</v>
          </cell>
          <cell r="H238">
            <v>1.6573960021538599E-2</v>
          </cell>
          <cell r="I238">
            <v>1.31987277016527E-2</v>
          </cell>
          <cell r="J238">
            <v>1.2530358749011299E-2</v>
          </cell>
          <cell r="K238"/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0.11106621122602472</v>
          </cell>
          <cell r="E239">
            <v>0.11101186656489274</v>
          </cell>
          <cell r="F239">
            <v>8.1684431279710326E-2</v>
          </cell>
          <cell r="G239">
            <v>5.701606283938232E-2</v>
          </cell>
          <cell r="H239">
            <v>3.1347399427669037E-2</v>
          </cell>
          <cell r="I239">
            <v>2.9758176297455544E-2</v>
          </cell>
          <cell r="J239">
            <v>2.9058823068812589E-2</v>
          </cell>
          <cell r="K239"/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6.9177137822992787</v>
          </cell>
          <cell r="E240">
            <v>6.3119358014229725</v>
          </cell>
          <cell r="F240">
            <v>6.4452632198334765</v>
          </cell>
          <cell r="G240">
            <v>5.0607041305792757</v>
          </cell>
          <cell r="H240">
            <v>3.79626616529112</v>
          </cell>
          <cell r="I240">
            <v>3.7940638292294944</v>
          </cell>
          <cell r="J240">
            <v>1.0089998198241785</v>
          </cell>
          <cell r="K240"/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655.76892379844901</v>
          </cell>
          <cell r="E241">
            <v>597.37741020570195</v>
          </cell>
          <cell r="F241">
            <v>608.52156587567697</v>
          </cell>
          <cell r="G241">
            <v>475.88321081366399</v>
          </cell>
          <cell r="H241">
            <v>355.55533563661999</v>
          </cell>
          <cell r="I241">
            <v>353.93476573599003</v>
          </cell>
          <cell r="J241">
            <v>93.382684340649007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8.8978144341716359</v>
          </cell>
          <cell r="E242">
            <v>8.105527953944403</v>
          </cell>
          <cell r="F242">
            <v>8.2567376645275115</v>
          </cell>
          <cell r="G242">
            <v>6.4570313543237923</v>
          </cell>
          <cell r="H242">
            <v>4.8243600493435634</v>
          </cell>
          <cell r="I242">
            <v>4.8023713125643139</v>
          </cell>
          <cell r="J242">
            <v>1.2670649164267145</v>
          </cell>
          <cell r="K242"/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2.0391844500901001E-4</v>
          </cell>
          <cell r="F243">
            <v>4.3617918148837198E-5</v>
          </cell>
          <cell r="G243">
            <v>3.43228327621638E-5</v>
          </cell>
          <cell r="H243">
            <v>0.142876268912529</v>
          </cell>
          <cell r="I243">
            <v>8.3372136634041805E-2</v>
          </cell>
          <cell r="J243">
            <v>1.6973860104758999E-5</v>
          </cell>
          <cell r="K243"/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0.37652563281904633</v>
          </cell>
          <cell r="F244">
            <v>0.37652654504220257</v>
          </cell>
          <cell r="G244">
            <v>0.37600450113054229</v>
          </cell>
          <cell r="H244">
            <v>0.24036327978688476</v>
          </cell>
          <cell r="I244">
            <v>0.22624858142584819</v>
          </cell>
          <cell r="J244">
            <v>8.0085494819577496E-2</v>
          </cell>
          <cell r="K244"/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1.6632138013416019E-5</v>
          </cell>
          <cell r="F245"/>
          <cell r="G245"/>
          <cell r="H245"/>
          <cell r="I245"/>
          <cell r="J245"/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0.69257693911973772</v>
          </cell>
          <cell r="E246">
            <v>0.75019305709382256</v>
          </cell>
          <cell r="F246"/>
          <cell r="G246"/>
          <cell r="H246"/>
          <cell r="I246"/>
          <cell r="J246"/>
          <cell r="K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0.69257693911973772</v>
          </cell>
          <cell r="E247">
            <v>0.75020968923183584</v>
          </cell>
          <cell r="F247"/>
          <cell r="G247"/>
          <cell r="H247"/>
          <cell r="I247"/>
          <cell r="J247"/>
          <cell r="K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9.8759544954265106</v>
          </cell>
          <cell r="E248">
            <v>12.920006383589776</v>
          </cell>
          <cell r="F248">
            <v>10.27537249347486</v>
          </cell>
          <cell r="G248">
            <v>11.052895577062667</v>
          </cell>
          <cell r="H248">
            <v>13.15537470267663</v>
          </cell>
          <cell r="I248">
            <v>16.200292730399219</v>
          </cell>
          <cell r="J248">
            <v>24.410495922256406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9.8759544954265106</v>
          </cell>
          <cell r="E249">
            <v>12.920006383589776</v>
          </cell>
          <cell r="F249">
            <v>10.27537249347486</v>
          </cell>
          <cell r="G249">
            <v>11.052895577062667</v>
          </cell>
          <cell r="H249">
            <v>13.15537470267663</v>
          </cell>
          <cell r="I249">
            <v>16.200292730399219</v>
          </cell>
          <cell r="J249">
            <v>24.410495922256406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58.701894991713601</v>
          </cell>
          <cell r="F250">
            <v>45.223601379713493</v>
          </cell>
          <cell r="G250">
            <v>37.598143636054154</v>
          </cell>
          <cell r="H250">
            <v>34.980164959253862</v>
          </cell>
          <cell r="I250">
            <v>31.979274400072676</v>
          </cell>
          <cell r="J250">
            <v>27.411828774969234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58.701894991713601</v>
          </cell>
          <cell r="F251">
            <v>45.223601379713493</v>
          </cell>
          <cell r="G251">
            <v>37.598143636054154</v>
          </cell>
          <cell r="H251">
            <v>34.980164959253862</v>
          </cell>
          <cell r="I251">
            <v>31.979274400072676</v>
          </cell>
          <cell r="J251">
            <v>27.411828774969234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3.4506687322546502E-7</v>
          </cell>
          <cell r="E252">
            <v>2.4893040710055498E-6</v>
          </cell>
          <cell r="F252">
            <v>1.9414181018577501E-6</v>
          </cell>
          <cell r="G252">
            <v>1.7485322983312499E-6</v>
          </cell>
          <cell r="H252">
            <v>2.0496891043202E-6</v>
          </cell>
          <cell r="I252">
            <v>2.2928133441490499E-6</v>
          </cell>
          <cell r="J252">
            <v>2.5971553862643799</v>
          </cell>
          <cell r="K252"/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6.6055316134207329</v>
          </cell>
          <cell r="E253">
            <v>6.2047527923430996</v>
          </cell>
          <cell r="F253">
            <v>4.780107615941886</v>
          </cell>
          <cell r="G253">
            <v>3.9740997662186346</v>
          </cell>
          <cell r="H253">
            <v>3.6973834495741791</v>
          </cell>
          <cell r="I253">
            <v>3.3801913036620728</v>
          </cell>
          <cell r="J253">
            <v>2.8974118580482751</v>
          </cell>
          <cell r="K253"/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1.3819377854010586E-3</v>
          </cell>
          <cell r="E254">
            <v>5.060084755078389E-4</v>
          </cell>
          <cell r="F254">
            <v>4.3883193952769001E-4</v>
          </cell>
          <cell r="G254">
            <v>6.9895207621062069E-4</v>
          </cell>
          <cell r="H254">
            <v>8.0766370301745482E-4</v>
          </cell>
          <cell r="I254">
            <v>1.454171722635191E-3</v>
          </cell>
          <cell r="J254">
            <v>0.25064681806981126</v>
          </cell>
          <cell r="K254"/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0.22866441290299433</v>
          </cell>
          <cell r="E255">
            <v>0.22965196501073976</v>
          </cell>
          <cell r="F255">
            <v>8.3562497501171262E-4</v>
          </cell>
          <cell r="G255">
            <v>6.1273344353181508E-4</v>
          </cell>
          <cell r="H255">
            <v>6.7357086847497658E-4</v>
          </cell>
          <cell r="I255">
            <v>1.0060056020756295E-3</v>
          </cell>
          <cell r="J255">
            <v>4.1152764490238559E-2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0.23004635068839527</v>
          </cell>
          <cell r="E256">
            <v>0.23015797348624767</v>
          </cell>
          <cell r="F256">
            <v>1.269123898617128E-3</v>
          </cell>
          <cell r="G256">
            <v>1.3064910586346094E-3</v>
          </cell>
          <cell r="H256">
            <v>1.4732944009866362E-3</v>
          </cell>
          <cell r="I256">
            <v>2.4601773247108208E-3</v>
          </cell>
          <cell r="J256">
            <v>0.29179958256004973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2.5829594813892066E-5</v>
          </cell>
          <cell r="F257">
            <v>5.597341723014538E-4</v>
          </cell>
          <cell r="G257">
            <v>3.9090102814922766E-4</v>
          </cell>
          <cell r="H257">
            <v>6.2823289053785824E-4</v>
          </cell>
          <cell r="I257">
            <v>7.1335770613897669E-4</v>
          </cell>
          <cell r="J257">
            <v>4.8458498834159995E-4</v>
          </cell>
          <cell r="K257"/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2.6784166429497015E-5</v>
          </cell>
          <cell r="F258">
            <v>2.3774340918178709E-3</v>
          </cell>
          <cell r="G258">
            <v>2.9564441542620826E-3</v>
          </cell>
          <cell r="H258">
            <v>3.0364294255312268E-3</v>
          </cell>
          <cell r="I258">
            <v>1.1298459394786237E-2</v>
          </cell>
          <cell r="J258">
            <v>1.2731178754382346E-2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5.1445585533479287E-5</v>
          </cell>
          <cell r="F259">
            <v>2.9371682641193249E-3</v>
          </cell>
          <cell r="G259">
            <v>3.3473451824113116E-3</v>
          </cell>
          <cell r="H259">
            <v>3.6646623160690854E-3</v>
          </cell>
          <cell r="I259">
            <v>1.2011817100925219E-2</v>
          </cell>
          <cell r="J259">
            <v>1.321576374272394E-2</v>
          </cell>
          <cell r="K259"/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D260"/>
          <cell r="E260">
            <v>2.582218907858063E-5</v>
          </cell>
          <cell r="F260">
            <v>0.14900034491329076</v>
          </cell>
          <cell r="G260">
            <v>0.21814233417733792</v>
          </cell>
          <cell r="H260">
            <v>0.30784029663304935</v>
          </cell>
          <cell r="I260">
            <v>0.39408054812554494</v>
          </cell>
          <cell r="J260">
            <v>0.56988851305074617</v>
          </cell>
          <cell r="K260"/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D261"/>
          <cell r="E261">
            <v>2.5796392685894732E-5</v>
          </cell>
          <cell r="F261">
            <v>0.14885149341987078</v>
          </cell>
          <cell r="G261">
            <v>0.2179244097675703</v>
          </cell>
          <cell r="H261">
            <v>0.30753276386918016</v>
          </cell>
          <cell r="I261">
            <v>0.39368686126428076</v>
          </cell>
          <cell r="J261">
            <v>0.56931919385688956</v>
          </cell>
          <cell r="K261"/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D262"/>
          <cell r="E262">
            <v>2.4285547127059714E-5</v>
          </cell>
          <cell r="F262">
            <v>0.14885109933861349</v>
          </cell>
          <cell r="G262">
            <v>0.21792576002488456</v>
          </cell>
          <cell r="H262">
            <v>0.30753428043290737</v>
          </cell>
          <cell r="I262">
            <v>0.39368985448958699</v>
          </cell>
          <cell r="J262">
            <v>0.56932254035511676</v>
          </cell>
          <cell r="K262"/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D263">
            <v>3.07027088637592E-5</v>
          </cell>
          <cell r="E263">
            <v>3.6639875997580097E-5</v>
          </cell>
          <cell r="F263">
            <v>1.7145433827936301E-2</v>
          </cell>
          <cell r="G263">
            <v>1.19680347663853E-2</v>
          </cell>
          <cell r="H263">
            <v>1.0095720435216299E-2</v>
          </cell>
          <cell r="I263">
            <v>2.61392402296068E-2</v>
          </cell>
          <cell r="J263">
            <v>3.6538802837406903E-2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D264">
            <v>3.07027088637592E-5</v>
          </cell>
          <cell r="E264">
            <v>4.9445480238083795E-5</v>
          </cell>
          <cell r="F264">
            <v>1.7181605437435681E-2</v>
          </cell>
          <cell r="G264">
            <v>2.9129731063614599E-2</v>
          </cell>
          <cell r="H264">
            <v>3.913836971014089E-2</v>
          </cell>
          <cell r="I264">
            <v>4.7336777061019866E-2</v>
          </cell>
          <cell r="J264">
            <v>5.9711023162607881E-2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D265">
            <v>5.61000253788953</v>
          </cell>
          <cell r="E265">
            <v>6.076703590480701</v>
          </cell>
          <cell r="F265">
            <v>6.002955333082598</v>
          </cell>
          <cell r="G265">
            <v>7.5711791153067747</v>
          </cell>
          <cell r="H265">
            <v>7.8470929349638707</v>
          </cell>
          <cell r="I265">
            <v>8.232055989320946</v>
          </cell>
          <cell r="J265">
            <v>7.5787260186753693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D266">
            <v>6.0987784927053097</v>
          </cell>
          <cell r="E266">
            <v>6.6044050737227709</v>
          </cell>
          <cell r="F266">
            <v>6.5216815459270485</v>
          </cell>
          <cell r="G266">
            <v>8.2200197045645407</v>
          </cell>
          <cell r="H266">
            <v>8.5139909188842964</v>
          </cell>
          <cell r="I266">
            <v>8.9258161560945606</v>
          </cell>
          <cell r="J266">
            <v>8.2066679023759406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D267">
            <v>0.849700293021034</v>
          </cell>
          <cell r="E267">
            <v>6.2437614705765E-8</v>
          </cell>
          <cell r="F267">
            <v>7.1403082728818806E-8</v>
          </cell>
          <cell r="G267">
            <v>8.2258285606044301E-8</v>
          </cell>
          <cell r="H267">
            <v>1.21656203049082E-7</v>
          </cell>
          <cell r="I267">
            <v>1.13750682328407E-7</v>
          </cell>
          <cell r="J267">
            <v>1.44497537653795E-7</v>
          </cell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D268">
            <v>0.849700293021034</v>
          </cell>
          <cell r="E268">
            <v>0.84970035545864797</v>
          </cell>
          <cell r="F268">
            <v>0.84970042686173097</v>
          </cell>
          <cell r="G268">
            <v>0.84970050912001704</v>
          </cell>
          <cell r="H268">
            <v>0.84970063077622004</v>
          </cell>
          <cell r="I268">
            <v>0.84970074452690203</v>
          </cell>
          <cell r="J268">
            <v>0.84970088902443996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D269">
            <v>0.31051479484089017</v>
          </cell>
          <cell r="E269">
            <v>0.39252012234819905</v>
          </cell>
          <cell r="F269">
            <v>2.8858350309869363</v>
          </cell>
          <cell r="G269">
            <v>5.8385639133883052</v>
          </cell>
          <cell r="H269">
            <v>7.3762280879323292</v>
          </cell>
          <cell r="I269">
            <v>8.0233307154420377</v>
          </cell>
          <cell r="J269">
            <v>8.6190588607311156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D270">
            <v>0.43672966925582346</v>
          </cell>
          <cell r="E270">
            <v>0.55206768262756589</v>
          </cell>
          <cell r="F270">
            <v>4.0588397060294454</v>
          </cell>
          <cell r="G270">
            <v>8.2117635912634483</v>
          </cell>
          <cell r="H270">
            <v>10.374441755179081</v>
          </cell>
          <cell r="I270">
            <v>11.284572032970509</v>
          </cell>
          <cell r="J270">
            <v>11.970915084348777</v>
          </cell>
          <cell r="K270"/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D271"/>
          <cell r="E271">
            <v>1.7457338553403801E-2</v>
          </cell>
          <cell r="F271">
            <v>0.14377172724023701</v>
          </cell>
          <cell r="G271">
            <v>0.14969707509317901</v>
          </cell>
          <cell r="H271">
            <v>0.108445586379806</v>
          </cell>
          <cell r="I271">
            <v>0.228595722520018</v>
          </cell>
          <cell r="J271">
            <v>0.32919373245414901</v>
          </cell>
          <cell r="K271"/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D272">
            <v>1.7013611085743299E-2</v>
          </cell>
          <cell r="E272">
            <v>3.446631074317584E-2</v>
          </cell>
          <cell r="F272">
            <v>0.17822816031929656</v>
          </cell>
          <cell r="G272">
            <v>0.32791066917537348</v>
          </cell>
          <cell r="H272">
            <v>0.41518207542876717</v>
          </cell>
          <cell r="I272">
            <v>0.46466792736179724</v>
          </cell>
          <cell r="J272">
            <v>0.54093089479054945</v>
          </cell>
          <cell r="K272"/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D273"/>
          <cell r="E273"/>
          <cell r="F273">
            <v>1.5677687231175283E-3</v>
          </cell>
          <cell r="G273">
            <v>1.2842937146681416E-2</v>
          </cell>
          <cell r="H273">
            <v>1.3545100367231644E-2</v>
          </cell>
          <cell r="I273">
            <v>1.4278841364055264E-2</v>
          </cell>
          <cell r="J273">
            <v>1.6968760193662634E-2</v>
          </cell>
          <cell r="K273"/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D274"/>
          <cell r="E274"/>
          <cell r="F274">
            <v>2.106702196476845E-3</v>
          </cell>
          <cell r="G274">
            <v>1.6829429288439366E-2</v>
          </cell>
          <cell r="H274">
            <v>1.7727010174209579E-2</v>
          </cell>
          <cell r="I274">
            <v>1.8648388344196392E-2</v>
          </cell>
          <cell r="J274">
            <v>2.2119631909031344E-2</v>
          </cell>
          <cell r="K274"/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D275"/>
          <cell r="E275">
            <v>1.6992332101952801E-7</v>
          </cell>
          <cell r="F275">
            <v>1.5820683860473701E-4</v>
          </cell>
          <cell r="G275">
            <v>8.49156900777375E-4</v>
          </cell>
          <cell r="H275">
            <v>3.8548251105035098E-5</v>
          </cell>
          <cell r="I275">
            <v>4.2144599309882101E-4</v>
          </cell>
          <cell r="J275">
            <v>9.3089106204547302E-4</v>
          </cell>
          <cell r="K275"/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D276"/>
          <cell r="E276">
            <v>1.6992332101952801E-7</v>
          </cell>
          <cell r="F276">
            <v>1.5827062652330124E-4</v>
          </cell>
          <cell r="G276">
            <v>1.0071119721818665E-3</v>
          </cell>
          <cell r="H276">
            <v>1.045309032316746E-3</v>
          </cell>
          <cell r="I276">
            <v>1.0674629839627296E-3</v>
          </cell>
          <cell r="J276">
            <v>1.252883256585801E-3</v>
          </cell>
          <cell r="K276"/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D277">
            <v>0.68565116972854001</v>
          </cell>
          <cell r="E277">
            <v>0.74269112652288438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D278">
            <v>0.68565116972854001</v>
          </cell>
          <cell r="E278">
            <v>0.74269112652288438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D279">
            <v>0.69257693911973772</v>
          </cell>
          <cell r="E279">
            <v>0.75019305709382256</v>
          </cell>
          <cell r="F279"/>
          <cell r="G279"/>
          <cell r="H279"/>
          <cell r="I279"/>
          <cell r="J279"/>
          <cell r="K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D280">
            <v>3.0582959094071499E-8</v>
          </cell>
          <cell r="E280">
            <v>2.9581462378658899E-2</v>
          </cell>
          <cell r="F280">
            <v>1.50197364962312E-3</v>
          </cell>
          <cell r="G280">
            <v>1.6169115015287E-4</v>
          </cell>
          <cell r="H280">
            <v>2.8412092212867698E-4</v>
          </cell>
          <cell r="I280">
            <v>1.5270159422474199E-4</v>
          </cell>
          <cell r="J280">
            <v>4.3294451706017601E-7</v>
          </cell>
          <cell r="K280"/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D281">
            <v>7.5969299541485999E-2</v>
          </cell>
          <cell r="E281">
            <v>5.7390155198321295E-2</v>
          </cell>
          <cell r="F281">
            <v>2.297333128289003E-3</v>
          </cell>
          <cell r="G281">
            <v>3.7199305325590071E-4</v>
          </cell>
          <cell r="H281">
            <v>4.2516417589939792E-4</v>
          </cell>
          <cell r="I281">
            <v>2.3185633721254501E-4</v>
          </cell>
          <cell r="J281">
            <v>7.6900387795800543E-7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2093.6573391256402</v>
          </cell>
          <cell r="H282">
            <v>2085.535208109</v>
          </cell>
          <cell r="I282">
            <v>2077.4141373902198</v>
          </cell>
          <cell r="J282">
            <v>2063.7519117002098</v>
          </cell>
          <cell r="K282"/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D283">
            <v>2089.34680048464</v>
          </cell>
          <cell r="E283">
            <v>2111.0131698740802</v>
          </cell>
          <cell r="F283">
            <v>2102.26947106126</v>
          </cell>
          <cell r="G283">
            <v>2093.6573391256411</v>
          </cell>
          <cell r="H283">
            <v>2085.5352081089982</v>
          </cell>
          <cell r="I283">
            <v>2077.4141373902189</v>
          </cell>
          <cell r="J283">
            <v>2063.7519117002139</v>
          </cell>
          <cell r="K283"/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D284"/>
          <cell r="E284">
            <v>8.1141907138646732E-2</v>
          </cell>
          <cell r="F284">
            <v>7.0288416367920617E-2</v>
          </cell>
          <cell r="G284">
            <v>0.13330829636764283</v>
          </cell>
          <cell r="H284">
            <v>0.14181546058933017</v>
          </cell>
          <cell r="I284">
            <v>0.14805490453787568</v>
          </cell>
          <cell r="J284">
            <v>0.13232662547984414</v>
          </cell>
          <cell r="K284"/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D285"/>
          <cell r="E285">
            <v>8.1141907138646732E-2</v>
          </cell>
          <cell r="F285">
            <v>7.0288416367920617E-2</v>
          </cell>
          <cell r="G285">
            <v>0.13330829636764283</v>
          </cell>
          <cell r="H285">
            <v>0.14181546058933017</v>
          </cell>
          <cell r="I285">
            <v>0.14805490453787568</v>
          </cell>
          <cell r="J285">
            <v>0.13232662547984414</v>
          </cell>
          <cell r="K285"/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D286"/>
          <cell r="E286">
            <v>0.11269709324812038</v>
          </cell>
          <cell r="F286">
            <v>9.4732035008005547E-2</v>
          </cell>
          <cell r="G286">
            <v>0.17718609659823401</v>
          </cell>
          <cell r="H286">
            <v>0.18797973442695334</v>
          </cell>
          <cell r="I286">
            <v>0.19544811517053104</v>
          </cell>
          <cell r="J286">
            <v>0.17468512520837168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D287"/>
          <cell r="E287">
            <v>6.3516366165694603E-3</v>
          </cell>
          <cell r="F287">
            <v>4.0457781398207E-3</v>
          </cell>
          <cell r="G287"/>
          <cell r="H287">
            <v>2.4313600343098801E-2</v>
          </cell>
          <cell r="I287"/>
          <cell r="J287"/>
          <cell r="K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D288"/>
          <cell r="E288">
            <v>6.3516366165694603E-3</v>
          </cell>
          <cell r="F288">
            <v>1.0397082805999845E-2</v>
          </cell>
          <cell r="G288">
            <v>1.0396893996179145E-2</v>
          </cell>
          <cell r="H288">
            <v>2.4928983548413799E-2</v>
          </cell>
          <cell r="I288">
            <v>2.4369063009788239E-2</v>
          </cell>
          <cell r="J288">
            <v>1.0284445600008364E-2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D289"/>
          <cell r="E289">
            <v>0.40468474157116097</v>
          </cell>
          <cell r="F289">
            <v>1.377599423310901</v>
          </cell>
          <cell r="G289">
            <v>2.6285597906101597</v>
          </cell>
          <cell r="H289">
            <v>3.3757206372558706</v>
          </cell>
          <cell r="I289">
            <v>3.9800679888367685</v>
          </cell>
          <cell r="J289">
            <v>4.7289450019681896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D290"/>
          <cell r="E290">
            <v>6.0518123767493913E-5</v>
          </cell>
          <cell r="F290">
            <v>9.5691835452045329E-5</v>
          </cell>
          <cell r="G290">
            <v>1.5883477311651226E-5</v>
          </cell>
          <cell r="H290">
            <v>2.6301963535650382E-4</v>
          </cell>
          <cell r="I290">
            <v>1.5963094331664242E-4</v>
          </cell>
          <cell r="J290">
            <v>1.0967236061318101E-6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D291"/>
          <cell r="E291">
            <v>3.4834368246114438E-4</v>
          </cell>
          <cell r="F291">
            <v>1.5181702865566381E-2</v>
          </cell>
          <cell r="G291">
            <v>2.4106398667425116E-2</v>
          </cell>
          <cell r="H291">
            <v>2.3741535615406099E-2</v>
          </cell>
          <cell r="I291">
            <v>1.9785561906009597E-2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D292"/>
          <cell r="E292">
            <v>4.3400508865699799E-5</v>
          </cell>
          <cell r="F292">
            <v>0.18596026241733876</v>
          </cell>
          <cell r="G292">
            <v>0.45871815388578507</v>
          </cell>
          <cell r="H292">
            <v>0.66144632276210713</v>
          </cell>
          <cell r="I292">
            <v>0.82962438453205756</v>
          </cell>
          <cell r="J292">
            <v>0.98352463321338002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D293"/>
          <cell r="E293"/>
          <cell r="F293">
            <v>1.5154567871615903E-3</v>
          </cell>
          <cell r="G293">
            <v>1.4992351871359821E-3</v>
          </cell>
          <cell r="H293">
            <v>1.7667075609210079E-3</v>
          </cell>
          <cell r="I293">
            <v>2.4290724432959199E-3</v>
          </cell>
          <cell r="J293">
            <v>2.4112238848747573E-3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D294"/>
          <cell r="E294">
            <v>2.6374015899672594E-2</v>
          </cell>
          <cell r="F294">
            <v>2.5010726133277861E-2</v>
          </cell>
          <cell r="G294">
            <v>0.11652571638679349</v>
          </cell>
          <cell r="H294">
            <v>0.1201313403772107</v>
          </cell>
          <cell r="I294">
            <v>0.12345463352096539</v>
          </cell>
          <cell r="J294">
            <v>0.12218347908258924</v>
          </cell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D295"/>
          <cell r="E295">
            <v>3.0724982843171763E-5</v>
          </cell>
          <cell r="F295">
            <v>1.1760843497971409E-4</v>
          </cell>
          <cell r="G295">
            <v>9.664326031030302E-5</v>
          </cell>
          <cell r="H295">
            <v>2.6967158220595033E-5</v>
          </cell>
          <cell r="I295">
            <v>3.3995425995563127E-5</v>
          </cell>
          <cell r="J295">
            <v>2.7134714855184348E-4</v>
          </cell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D296"/>
          <cell r="E296">
            <v>5.0632018572516171E-5</v>
          </cell>
          <cell r="F296">
            <v>1.6564263690415301E-3</v>
          </cell>
          <cell r="G296">
            <v>1.2791528072518389E-2</v>
          </cell>
          <cell r="H296">
            <v>1.3473425218129347E-2</v>
          </cell>
          <cell r="I296">
            <v>1.4231317901616516E-2</v>
          </cell>
          <cell r="J296">
            <v>1.6907085535371551E-2</v>
          </cell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D297"/>
          <cell r="E297">
            <v>5.3846907934801486E-2</v>
          </cell>
          <cell r="F297">
            <v>2.9547921345459607E-3</v>
          </cell>
          <cell r="G297">
            <v>0.11354004440252308</v>
          </cell>
          <cell r="H297">
            <v>0.11654369295844916</v>
          </cell>
          <cell r="I297">
            <v>0.12124719109630551</v>
          </cell>
          <cell r="J297">
            <v>0.13059102776349354</v>
          </cell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D298"/>
          <cell r="E298">
            <v>6.8750316495669928E-2</v>
          </cell>
          <cell r="F298">
            <v>4.3456099694194105E-3</v>
          </cell>
          <cell r="G298">
            <v>9.8844741331956931E-3</v>
          </cell>
          <cell r="H298">
            <v>1.0181717654956205E-2</v>
          </cell>
          <cell r="I298">
            <v>1.0435066375103746E-2</v>
          </cell>
          <cell r="J298">
            <v>8.2080924718427404E-3</v>
          </cell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D299"/>
          <cell r="E299">
            <v>0.13925761136088977</v>
          </cell>
          <cell r="F299">
            <v>1.103843059200639</v>
          </cell>
          <cell r="G299">
            <v>1.8371132510533783</v>
          </cell>
          <cell r="H299">
            <v>2.3712791462927201</v>
          </cell>
          <cell r="I299">
            <v>2.8029366332250829</v>
          </cell>
          <cell r="J299">
            <v>3.4305314449612059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D300"/>
          <cell r="E300">
            <v>1.3159211171523797E-2</v>
          </cell>
          <cell r="F300">
            <v>3.8256571718626808E-4</v>
          </cell>
          <cell r="G300">
            <v>7.0174717012817355E-4</v>
          </cell>
          <cell r="H300">
            <v>7.6059211364878378E-4</v>
          </cell>
          <cell r="I300">
            <v>7.7602327452829282E-4</v>
          </cell>
          <cell r="J300">
            <v>1.2001019637124942E-3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D301"/>
          <cell r="E301">
            <v>1.0091250627275625E-3</v>
          </cell>
          <cell r="F301">
            <v>1.1767376827892545E-5</v>
          </cell>
          <cell r="G301">
            <v>1.4646753747795139E-4</v>
          </cell>
          <cell r="H301">
            <v>1.560169705654559E-5</v>
          </cell>
          <cell r="I301">
            <v>3.8885230494077815E-5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D302"/>
          <cell r="E302">
            <v>0.10181575329255833</v>
          </cell>
          <cell r="F302">
            <v>3.6664269115603013E-2</v>
          </cell>
          <cell r="G302">
            <v>5.3525782892586742E-2</v>
          </cell>
          <cell r="H302">
            <v>5.6220590468246255E-2</v>
          </cell>
          <cell r="I302">
            <v>5.5016999083839446E-2</v>
          </cell>
          <cell r="J302">
            <v>3.3191239824760112E-2</v>
          </cell>
          <cell r="K302"/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D303">
            <v>44.576906148099837</v>
          </cell>
          <cell r="E303">
            <v>44.861181592941641</v>
          </cell>
          <cell r="F303">
            <v>49.522044847900325</v>
          </cell>
          <cell r="G303">
            <v>40.72006412091033</v>
          </cell>
          <cell r="H303">
            <v>36.728058954759859</v>
          </cell>
          <cell r="I303">
            <v>32.119117490574951</v>
          </cell>
          <cell r="J303">
            <v>22.343430078841067</v>
          </cell>
          <cell r="K303"/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D304">
            <v>44.576906148099837</v>
          </cell>
          <cell r="E304">
            <v>44.861181592941641</v>
          </cell>
          <cell r="F304">
            <v>49.522044847900325</v>
          </cell>
          <cell r="G304">
            <v>40.72006412091033</v>
          </cell>
          <cell r="H304">
            <v>36.728058954759859</v>
          </cell>
          <cell r="I304">
            <v>32.119117490574951</v>
          </cell>
          <cell r="J304">
            <v>22.343430078841067</v>
          </cell>
          <cell r="K304"/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D305">
            <v>0.19321376736319301</v>
          </cell>
          <cell r="E305">
            <v>1.28345998914925E-5</v>
          </cell>
          <cell r="F305">
            <v>0.47618121404164099</v>
          </cell>
          <cell r="G305">
            <v>2.46060107389478E-6</v>
          </cell>
          <cell r="H305">
            <v>3.5045961719801701E-6</v>
          </cell>
          <cell r="I305">
            <v>1.90314207341462E-6</v>
          </cell>
          <cell r="J305">
            <v>1.89304152663808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D306">
            <v>4.7117504514936623</v>
          </cell>
          <cell r="E306">
            <v>4.7423807272550293</v>
          </cell>
          <cell r="F306">
            <v>5.2344463721504972</v>
          </cell>
          <cell r="G306">
            <v>4.3040888853192909</v>
          </cell>
          <cell r="H306">
            <v>3.8821438331315812</v>
          </cell>
          <cell r="I306">
            <v>3.3949876601335056</v>
          </cell>
          <cell r="J306">
            <v>2.361686290511368</v>
          </cell>
          <cell r="K306"/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D307"/>
          <cell r="E307">
            <v>1.519753849838233</v>
          </cell>
          <cell r="F307">
            <v>0.50722573963373818</v>
          </cell>
          <cell r="G307">
            <v>0.99942319000271307</v>
          </cell>
          <cell r="H307">
            <v>1.4950849299572353</v>
          </cell>
          <cell r="I307">
            <v>2.617762894252734</v>
          </cell>
          <cell r="J307">
            <v>2.6177932771586905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D308"/>
          <cell r="E308">
            <v>1.519753849838233</v>
          </cell>
          <cell r="F308">
            <v>0.50722573963373818</v>
          </cell>
          <cell r="G308">
            <v>0.99942319000271307</v>
          </cell>
          <cell r="H308">
            <v>1.4950849299572353</v>
          </cell>
          <cell r="I308">
            <v>2.617762894252734</v>
          </cell>
          <cell r="J308">
            <v>2.6177932771586905</v>
          </cell>
          <cell r="K308"/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D309"/>
          <cell r="E309">
            <v>0.117431530988275</v>
          </cell>
          <cell r="F309">
            <v>4.6931073356020501E-7</v>
          </cell>
          <cell r="G309">
            <v>2.3106899374538301E-6</v>
          </cell>
          <cell r="H309">
            <v>3.50437437675207E-4</v>
          </cell>
          <cell r="I309">
            <v>9.3467752277115193E-2</v>
          </cell>
          <cell r="J309">
            <v>5.9814219300612398E-2</v>
          </cell>
          <cell r="K309"/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D310"/>
          <cell r="E310">
            <v>0.117431530988275</v>
          </cell>
          <cell r="F310">
            <v>0.11743156002565368</v>
          </cell>
          <cell r="G310">
            <v>0.11743354731482046</v>
          </cell>
          <cell r="H310">
            <v>0.11778418891383964</v>
          </cell>
          <cell r="I310">
            <v>0.21125212275400337</v>
          </cell>
          <cell r="J310">
            <v>0.22152210617484561</v>
          </cell>
          <cell r="K310"/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D311">
            <v>0.49461188777690041</v>
          </cell>
          <cell r="E311">
            <v>0.49128854562371999</v>
          </cell>
          <cell r="F311">
            <v>0.46824571317978259</v>
          </cell>
          <cell r="G311">
            <v>0.4781222261225086</v>
          </cell>
          <cell r="H311">
            <v>0.55283483807780154</v>
          </cell>
          <cell r="I311">
            <v>0.67886532131845911</v>
          </cell>
          <cell r="J311">
            <v>0.78318481376494431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D312">
            <v>0.49510649966467718</v>
          </cell>
          <cell r="E312">
            <v>0.49177983416934373</v>
          </cell>
          <cell r="F312">
            <v>0.46871395889296197</v>
          </cell>
          <cell r="G312">
            <v>0.47860034834863091</v>
          </cell>
          <cell r="H312">
            <v>0.5533876729158792</v>
          </cell>
          <cell r="I312">
            <v>0.67954418663977778</v>
          </cell>
          <cell r="J312">
            <v>0.78396799857870847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D313">
            <v>0.49460138553269883</v>
          </cell>
          <cell r="E313">
            <v>0.49130394329355281</v>
          </cell>
          <cell r="F313">
            <v>0.46826346444674011</v>
          </cell>
          <cell r="G313">
            <v>0.47813448320688184</v>
          </cell>
          <cell r="H313">
            <v>0.55284611695237718</v>
          </cell>
          <cell r="I313">
            <v>0.6788727774330684</v>
          </cell>
          <cell r="J313">
            <v>0.78319222981234793</v>
          </cell>
          <cell r="K313"/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D314">
            <v>7.8145479570141105E-2</v>
          </cell>
          <cell r="E314">
            <v>9.1153206083202003E-5</v>
          </cell>
          <cell r="F314">
            <v>5.2242120980032896E-7</v>
          </cell>
          <cell r="G314">
            <v>1.31768374108975E-6</v>
          </cell>
          <cell r="H314">
            <v>6.3761604658920001E-2</v>
          </cell>
          <cell r="I314">
            <v>3.9749324485612803E-2</v>
          </cell>
          <cell r="J314">
            <v>6.3073731126653598E-2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D315">
            <v>7.8146542123104706E-2</v>
          </cell>
          <cell r="E315">
            <v>7.8237695329187895E-2</v>
          </cell>
          <cell r="F315">
            <v>7.8238217750397701E-2</v>
          </cell>
          <cell r="G315">
            <v>7.8239535434138807E-2</v>
          </cell>
          <cell r="H315">
            <v>8.4076242180347857E-2</v>
          </cell>
          <cell r="I315">
            <v>0.103511921636738</v>
          </cell>
          <cell r="J315">
            <v>0.118891966189072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D316"/>
          <cell r="E316">
            <v>2.3670425973403146</v>
          </cell>
          <cell r="F316">
            <v>0.73990762820709277</v>
          </cell>
          <cell r="G316">
            <v>1.6067484395679952</v>
          </cell>
          <cell r="H316">
            <v>2.3232297601577083</v>
          </cell>
          <cell r="I316">
            <v>3.3272429051968762</v>
          </cell>
          <cell r="J316">
            <v>4.0772693311683739</v>
          </cell>
          <cell r="K316"/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D317"/>
          <cell r="E317">
            <v>2.3670425973403146</v>
          </cell>
          <cell r="F317">
            <v>0.73990762820709277</v>
          </cell>
          <cell r="G317">
            <v>1.6067484395679952</v>
          </cell>
          <cell r="H317">
            <v>2.3232297601577083</v>
          </cell>
          <cell r="I317">
            <v>3.3272429051968762</v>
          </cell>
          <cell r="J317">
            <v>4.0772693311683739</v>
          </cell>
          <cell r="K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D318"/>
          <cell r="E318">
            <v>0.18290208251308401</v>
          </cell>
          <cell r="F318">
            <v>4.0614892728435599E-7</v>
          </cell>
          <cell r="G318">
            <v>1.89091488812054E-6</v>
          </cell>
          <cell r="H318">
            <v>1.04187713277268E-5</v>
          </cell>
          <cell r="I318">
            <v>8.0511427254811696E-2</v>
          </cell>
          <cell r="J318">
            <v>0.148642068507299</v>
          </cell>
          <cell r="K318"/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D319"/>
          <cell r="E319">
            <v>0.18290208251308401</v>
          </cell>
          <cell r="F319">
            <v>0.18290204358763076</v>
          </cell>
          <cell r="G319">
            <v>0.18290361040978129</v>
          </cell>
          <cell r="H319">
            <v>0.18291423596077885</v>
          </cell>
          <cell r="I319">
            <v>0.26342585716844019</v>
          </cell>
          <cell r="J319">
            <v>0.33490174721109595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E320">
            <v>1.9020086418353388</v>
          </cell>
          <cell r="F320">
            <v>0.61602697206721935</v>
          </cell>
          <cell r="G320">
            <v>1.2776726096509601</v>
          </cell>
          <cell r="H320">
            <v>1.8657430176950427</v>
          </cell>
          <cell r="I320">
            <v>1.8566828810538578</v>
          </cell>
          <cell r="J320">
            <v>3.2762317706409236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D321"/>
          <cell r="E321">
            <v>1.9020086418353388</v>
          </cell>
          <cell r="F321">
            <v>0.61602697206721935</v>
          </cell>
          <cell r="G321">
            <v>1.2776726096509601</v>
          </cell>
          <cell r="H321">
            <v>1.8657430176950427</v>
          </cell>
          <cell r="I321">
            <v>1.8566828810538578</v>
          </cell>
          <cell r="J321">
            <v>3.2762317706409236</v>
          </cell>
          <cell r="K321"/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D322"/>
          <cell r="E322">
            <v>0.146968526660957</v>
          </cell>
          <cell r="F322">
            <v>1.4599651608904E-7</v>
          </cell>
          <cell r="G322">
            <v>3.1202961264843802E-7</v>
          </cell>
          <cell r="H322">
            <v>5.0530324103205105E-7</v>
          </cell>
          <cell r="I322">
            <v>3.6182208930423999E-7</v>
          </cell>
          <cell r="J322">
            <v>0.168233462325664</v>
          </cell>
          <cell r="K322"/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D323"/>
          <cell r="E323">
            <v>0.146968526660957</v>
          </cell>
          <cell r="F323">
            <v>0.14696823190150174</v>
          </cell>
          <cell r="G323">
            <v>0.14696822716268987</v>
          </cell>
          <cell r="H323">
            <v>0.14696894457053547</v>
          </cell>
          <cell r="I323">
            <v>0.14696950492631169</v>
          </cell>
          <cell r="J323">
            <v>0.25319724699932616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D324"/>
          <cell r="E324">
            <v>0.52287164210240866</v>
          </cell>
          <cell r="F324">
            <v>0.20419542459830708</v>
          </cell>
          <cell r="G324">
            <v>0.31364216574540815</v>
          </cell>
          <cell r="H324">
            <v>0.51064335756632684</v>
          </cell>
          <cell r="I324">
            <v>0.51102714924172987</v>
          </cell>
          <cell r="J324">
            <v>2.6242431425766042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D325"/>
          <cell r="E325">
            <v>0.52287164210240866</v>
          </cell>
          <cell r="F325">
            <v>0.20419542459830708</v>
          </cell>
          <cell r="G325">
            <v>0.31364216574540815</v>
          </cell>
          <cell r="H325">
            <v>0.51064335756632684</v>
          </cell>
          <cell r="I325">
            <v>0.51102714924172987</v>
          </cell>
          <cell r="J325">
            <v>2.6242431425766042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D326"/>
          <cell r="E326">
            <v>4.04020091971104E-2</v>
          </cell>
          <cell r="F326">
            <v>1.14629153531332E-7</v>
          </cell>
          <cell r="G326">
            <v>2.17512753571937E-7</v>
          </cell>
          <cell r="H326">
            <v>3.3611474443138998E-7</v>
          </cell>
          <cell r="I326">
            <v>2.8467433787969901E-7</v>
          </cell>
          <cell r="J326">
            <v>0.179432432317747</v>
          </cell>
          <cell r="K326"/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D327"/>
          <cell r="E327">
            <v>4.04020091971104E-2</v>
          </cell>
          <cell r="F327">
            <v>4.0401704278124208E-2</v>
          </cell>
          <cell r="G327">
            <v>4.0401614516764162E-2</v>
          </cell>
          <cell r="H327">
            <v>4.0402156719304159E-2</v>
          </cell>
          <cell r="I327">
            <v>4.0402629834400711E-2</v>
          </cell>
          <cell r="J327">
            <v>0.2027896696355117</v>
          </cell>
          <cell r="K327"/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D328">
            <v>1127.9632389534299</v>
          </cell>
          <cell r="E328">
            <v>1133.4593642940099</v>
          </cell>
          <cell r="F328">
            <v>1259.68741405267</v>
          </cell>
          <cell r="G328">
            <v>871.94407176275297</v>
          </cell>
          <cell r="H328">
            <v>518.91370166395404</v>
          </cell>
          <cell r="I328">
            <v>187.18173111266199</v>
          </cell>
          <cell r="J328">
            <v>58.756872291520502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D329">
            <v>18.999380797974428</v>
          </cell>
          <cell r="E329">
            <v>19.091957377292729</v>
          </cell>
          <cell r="F329">
            <v>21.062454101085201</v>
          </cell>
          <cell r="G329">
            <v>14.579237503954694</v>
          </cell>
          <cell r="H329">
            <v>8.6764350439594864</v>
          </cell>
          <cell r="I329">
            <v>3.1297499491864262</v>
          </cell>
          <cell r="J329">
            <v>0.98243731893929553</v>
          </cell>
          <cell r="K329"/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D330">
            <v>19.999348208394114</v>
          </cell>
          <cell r="E330">
            <v>20.096797239255508</v>
          </cell>
          <cell r="F330">
            <v>22.334883227884127</v>
          </cell>
          <cell r="G330">
            <v>15.460001272389245</v>
          </cell>
          <cell r="H330">
            <v>9.2005975472332349</v>
          </cell>
          <cell r="I330">
            <v>3.3188250197280467</v>
          </cell>
          <cell r="J330">
            <v>1.0417885158071003</v>
          </cell>
          <cell r="K330"/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D331"/>
          <cell r="E331">
            <v>2.7186728607467001E-3</v>
          </cell>
          <cell r="F331">
            <v>0.13778214607224801</v>
          </cell>
          <cell r="G331">
            <v>7.4402727570141299E-7</v>
          </cell>
          <cell r="H331">
            <v>0.12548921892485501</v>
          </cell>
          <cell r="I331">
            <v>7.1188163375025107E-2</v>
          </cell>
          <cell r="J331">
            <v>2.5485842972513502E-7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D332">
            <v>1.34683498965227</v>
          </cell>
          <cell r="E332">
            <v>1.3495534125932205</v>
          </cell>
          <cell r="F332">
            <v>1.4873353696114104</v>
          </cell>
          <cell r="G332">
            <v>1.4871321648037052</v>
          </cell>
          <cell r="H332">
            <v>0.61386639122326514</v>
          </cell>
          <cell r="I332">
            <v>0.22108113195021303</v>
          </cell>
          <cell r="J332">
            <v>0.10384207157419453</v>
          </cell>
          <cell r="K332"/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D333"/>
          <cell r="E333">
            <v>0.65260091218273952</v>
          </cell>
          <cell r="F333">
            <v>0.24711179005518227</v>
          </cell>
          <cell r="G333">
            <v>0.40062426188888584</v>
          </cell>
          <cell r="H333">
            <v>0.63799363616518179</v>
          </cell>
          <cell r="I333">
            <v>0.63767233845335292</v>
          </cell>
          <cell r="J333">
            <v>0.37713245012102098</v>
          </cell>
          <cell r="K333"/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D334"/>
          <cell r="E334">
            <v>0.65260091218273952</v>
          </cell>
          <cell r="F334">
            <v>0.24711179005518227</v>
          </cell>
          <cell r="G334">
            <v>0.40062426188888584</v>
          </cell>
          <cell r="H334">
            <v>0.63799363616518179</v>
          </cell>
          <cell r="I334">
            <v>0.63767233845335292</v>
          </cell>
          <cell r="J334">
            <v>0.37713245012102098</v>
          </cell>
          <cell r="K334"/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D335"/>
          <cell r="E335">
            <v>5.0426178475426998E-2</v>
          </cell>
          <cell r="F335">
            <v>9.7323610117920704E-8</v>
          </cell>
          <cell r="G335">
            <v>1.7099926624553301E-7</v>
          </cell>
          <cell r="H335">
            <v>2.5667997008689498E-7</v>
          </cell>
          <cell r="I335">
            <v>2.3410007147171101E-7</v>
          </cell>
          <cell r="J335">
            <v>1.8640573026894001E-6</v>
          </cell>
          <cell r="K335"/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D336"/>
          <cell r="E336">
            <v>5.0426178475426998E-2</v>
          </cell>
          <cell r="F336">
            <v>5.0425851964258937E-2</v>
          </cell>
          <cell r="G336">
            <v>5.0425714885597356E-2</v>
          </cell>
          <cell r="H336">
            <v>5.0426180714914948E-2</v>
          </cell>
          <cell r="I336">
            <v>5.0426606165185697E-2</v>
          </cell>
          <cell r="J336">
            <v>2.9153895661238046E-2</v>
          </cell>
          <cell r="K336"/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D337">
            <v>1.2699578790675246</v>
          </cell>
          <cell r="E337">
            <v>1.3548019448628794</v>
          </cell>
          <cell r="F337">
            <v>3.115442975751312</v>
          </cell>
          <cell r="G337">
            <v>4.2373775588940772</v>
          </cell>
          <cell r="H337">
            <v>4.3200511694321708</v>
          </cell>
          <cell r="I337">
            <v>5.4673280416539081</v>
          </cell>
          <cell r="J337">
            <v>4.6784417738531907</v>
          </cell>
          <cell r="K337"/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D338">
            <v>1.2712278369465939</v>
          </cell>
          <cell r="E338">
            <v>1.3561567468077425</v>
          </cell>
          <cell r="F338">
            <v>3.1185584187270576</v>
          </cell>
          <cell r="G338">
            <v>4.2416149364529749</v>
          </cell>
          <cell r="H338">
            <v>4.3243712206016038</v>
          </cell>
          <cell r="I338">
            <v>5.4727953696955574</v>
          </cell>
          <cell r="J338">
            <v>4.6831202156270422</v>
          </cell>
          <cell r="K338"/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1.2699715850891158</v>
          </cell>
          <cell r="E339">
            <v>1.3548060581404917</v>
          </cell>
          <cell r="F339">
            <v>3.1154446331169128</v>
          </cell>
          <cell r="G339">
            <v>4.2373801964313849</v>
          </cell>
          <cell r="H339">
            <v>4.3200537613662453</v>
          </cell>
          <cell r="I339">
            <v>5.4673314160624322</v>
          </cell>
          <cell r="J339">
            <v>4.6784455292480036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0.121344792632596</v>
          </cell>
          <cell r="E340">
            <v>2.5188275896102799E-2</v>
          </cell>
          <cell r="F340">
            <v>0.145455104947634</v>
          </cell>
          <cell r="G340">
            <v>0.11205681039993499</v>
          </cell>
          <cell r="H340">
            <v>0.14552945226264799</v>
          </cell>
          <cell r="I340">
            <v>0.240229455793322</v>
          </cell>
          <cell r="J340">
            <v>0.234911342429556</v>
          </cell>
          <cell r="K340"/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0.121344792632596</v>
          </cell>
          <cell r="E341">
            <v>0.14650002244357904</v>
          </cell>
          <cell r="F341">
            <v>0.29193949838018463</v>
          </cell>
          <cell r="G341">
            <v>0.40397852094260761</v>
          </cell>
          <cell r="H341">
            <v>0.44728597403077852</v>
          </cell>
          <cell r="I341">
            <v>0.48798534727951148</v>
          </cell>
          <cell r="J341">
            <v>0.47076629292309952</v>
          </cell>
          <cell r="K341"/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4.2111146481487284E-4</v>
          </cell>
          <cell r="I342">
            <v>4.666339467552045E-4</v>
          </cell>
          <cell r="J342">
            <v>6.1018221299649958E-4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4.2111146481487284E-4</v>
          </cell>
          <cell r="I343">
            <v>4.666339467552045E-4</v>
          </cell>
          <cell r="J343">
            <v>6.1018221299649958E-4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4.70818285943653E-5</v>
          </cell>
          <cell r="I344">
            <v>5.1845787755168301E-7</v>
          </cell>
          <cell r="J344">
            <v>5.8166313964502602E-6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4.70818285943653E-5</v>
          </cell>
          <cell r="I345">
            <v>4.7557911070708316E-5</v>
          </cell>
          <cell r="J345">
            <v>5.3395390286345051E-5</v>
          </cell>
          <cell r="K345"/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1.4937646862089893</v>
          </cell>
          <cell r="G346">
            <v>2.726124479827821</v>
          </cell>
          <cell r="H346">
            <v>3.5729453080761369</v>
          </cell>
          <cell r="I346">
            <v>4.2094232586743674</v>
          </cell>
          <cell r="J346">
            <v>4.9784819999677676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3.3372034606046028E-2</v>
          </cell>
          <cell r="F347">
            <v>4.9071659926118352E-2</v>
          </cell>
          <cell r="G347">
            <v>5.7630569869762553E-2</v>
          </cell>
          <cell r="H347">
            <v>5.5697239258714122E-2</v>
          </cell>
          <cell r="I347">
            <v>2.9956553848115266E-2</v>
          </cell>
          <cell r="J347">
            <v>1.5273099270191937E-4</v>
          </cell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0.24048799787488828</v>
          </cell>
          <cell r="F348">
            <v>5.2941286820510892E-2</v>
          </cell>
          <cell r="G348">
            <v>0.20443171503729343</v>
          </cell>
          <cell r="H348">
            <v>0.22389568836543125</v>
          </cell>
          <cell r="I348">
            <v>0.24675973514528063</v>
          </cell>
          <cell r="J348">
            <v>0.27452138334513954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1.675495647176378E-3</v>
          </cell>
          <cell r="G349">
            <v>1.6624000608137181E-3</v>
          </cell>
          <cell r="H349">
            <v>1.9658087739130637E-3</v>
          </cell>
          <cell r="I349">
            <v>2.9994766156085937E-3</v>
          </cell>
          <cell r="J349">
            <v>2.9622486190288397E-3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0.11511635956440859</v>
          </cell>
          <cell r="F350">
            <v>9.2040934205421131E-4</v>
          </cell>
          <cell r="G350">
            <v>1.7110229709314763E-3</v>
          </cell>
          <cell r="H350">
            <v>1.8216135069638571E-3</v>
          </cell>
          <cell r="I350">
            <v>1.9696018357323749E-3</v>
          </cell>
          <cell r="J350">
            <v>2.0607870583228085E-3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6.8886310264604775E-2</v>
          </cell>
          <cell r="F351">
            <v>6.9992249636971884E-2</v>
          </cell>
          <cell r="G351">
            <v>0.1330126299100822</v>
          </cell>
          <cell r="H351">
            <v>0.14144655605653972</v>
          </cell>
          <cell r="I351">
            <v>0.14782299732479956</v>
          </cell>
          <cell r="J351">
            <v>0.13191818345247561</v>
          </cell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3.3492706895564939E-2</v>
          </cell>
          <cell r="F352">
            <v>0.93916570165980839</v>
          </cell>
          <cell r="G352">
            <v>1.5926376169272789</v>
          </cell>
          <cell r="H352">
            <v>2.1413182907307191</v>
          </cell>
          <cell r="I352">
            <v>2.5907180991530452</v>
          </cell>
          <cell r="J352">
            <v>3.2677565714846173</v>
          </cell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6.9728794935030834E-3</v>
          </cell>
          <cell r="F353">
            <v>1.3524163113963624E-4</v>
          </cell>
          <cell r="G353">
            <v>3.1601988591690732E-5</v>
          </cell>
          <cell r="H353">
            <v>4.9483453695561358E-5</v>
          </cell>
          <cell r="I353">
            <v>1.6944844271388296E-4</v>
          </cell>
          <cell r="J353">
            <v>1.6934861584483153E-4</v>
          </cell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6.4479038373972813E-2</v>
          </cell>
          <cell r="F354">
            <v>1.2930332019537593E-2</v>
          </cell>
          <cell r="G354">
            <v>3.0016673960144648E-2</v>
          </cell>
          <cell r="H354">
            <v>3.471945135531717E-2</v>
          </cell>
          <cell r="I354">
            <v>3.9600961523795476E-2</v>
          </cell>
          <cell r="J354">
            <v>4.4495770010101542E-2</v>
          </cell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3.3803378555224521E-2</v>
          </cell>
          <cell r="F355">
            <v>5.073444497080172E-5</v>
          </cell>
          <cell r="G355">
            <v>2.0220334333007699E-4</v>
          </cell>
          <cell r="H355">
            <v>2.3343836931400764E-4</v>
          </cell>
          <cell r="I355">
            <v>1.657868958050114E-5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4.0123539162690409E-2</v>
          </cell>
          <cell r="F356">
            <v>4.2735362612999616E-4</v>
          </cell>
          <cell r="G356">
            <v>4.8182432575491198E-4</v>
          </cell>
          <cell r="H356">
            <v>5.6419395107372297E-4</v>
          </cell>
          <cell r="I356">
            <v>4.3120347792217732E-4</v>
          </cell>
          <cell r="J356">
            <v>9.01317937977873E-4</v>
          </cell>
          <cell r="K356"/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7.1173601566041841E-3</v>
          </cell>
          <cell r="F357">
            <v>7.4575712521753442E-5</v>
          </cell>
          <cell r="G357">
            <v>4.1201358449618783E-5</v>
          </cell>
          <cell r="H357">
            <v>4.2763127698640037E-5</v>
          </cell>
          <cell r="I357">
            <v>4.476718575895739E-5</v>
          </cell>
          <cell r="J357"/>
          <cell r="K357"/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7.7889584291381429E-3</v>
          </cell>
          <cell r="F358">
            <v>0.2675746701454132</v>
          </cell>
          <cell r="G358">
            <v>0.59115118259069444</v>
          </cell>
          <cell r="H358">
            <v>0.86008128787993332</v>
          </cell>
          <cell r="I358">
            <v>1.0889010098426941</v>
          </cell>
          <cell r="J358">
            <v>1.2534839018196715</v>
          </cell>
          <cell r="K358"/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0.55558188189046664</v>
          </cell>
          <cell r="F359">
            <v>9.8948048147880427E-2</v>
          </cell>
          <cell r="G359">
            <v>0.11322768135626722</v>
          </cell>
          <cell r="H359">
            <v>0.11124150741577535</v>
          </cell>
          <cell r="I359">
            <v>6.0136495428538321E-2</v>
          </cell>
          <cell r="J359">
            <v>1.2831885926362709E-4</v>
          </cell>
          <cell r="K359"/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1.8469640460536847E-2</v>
          </cell>
          <cell r="F360">
            <v>1.8967672475365172E-2</v>
          </cell>
          <cell r="G360">
            <v>1.9570417015810707E-2</v>
          </cell>
          <cell r="H360">
            <v>2.2304294309629356E-2</v>
          </cell>
          <cell r="I360">
            <v>4.7831249365166514E-2</v>
          </cell>
          <cell r="J360">
            <v>5.2271514349146272E-2</v>
          </cell>
          <cell r="K360"/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1.8470277586474518E-2</v>
          </cell>
          <cell r="F361">
            <v>1.8967966674931714E-2</v>
          </cell>
          <cell r="G361">
            <v>1.9571056899869304E-2</v>
          </cell>
          <cell r="H361">
            <v>2.2304777900167706E-2</v>
          </cell>
          <cell r="I361">
            <v>4.7831559717937122E-2</v>
          </cell>
          <cell r="J361">
            <v>5.2271834996505548E-2</v>
          </cell>
          <cell r="K361"/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6.9952438740883503E-4</v>
          </cell>
          <cell r="F362">
            <v>1.6356087925771099E-5</v>
          </cell>
          <cell r="G362">
            <v>5.3692687175461502E-6</v>
          </cell>
          <cell r="H362">
            <v>1.1604082267873E-4</v>
          </cell>
          <cell r="I362">
            <v>1.2183855145487801E-3</v>
          </cell>
          <cell r="J362">
            <v>5.21301616973138E-4</v>
          </cell>
          <cell r="K362"/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6.9952438740883503E-4</v>
          </cell>
          <cell r="F363">
            <v>7.155654280951092E-4</v>
          </cell>
          <cell r="G363">
            <v>7.20176536003126E-4</v>
          </cell>
          <cell r="H363">
            <v>8.3463749524258224E-4</v>
          </cell>
          <cell r="I363">
            <v>1.7149633336125908E-3</v>
          </cell>
          <cell r="J363">
            <v>1.8322070653611783E-3</v>
          </cell>
          <cell r="K363"/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2.7189524113737669E-4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2.7189524113737669E-4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2.5223449419856801E-5</v>
          </cell>
          <cell r="K366"/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2.5223449419856801E-5</v>
          </cell>
          <cell r="K367"/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7.6225614250358703E-5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7.6225614250358703E-5</v>
          </cell>
          <cell r="K369"/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7.5146379550078001E-6</v>
          </cell>
          <cell r="K370"/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7.5146379550078001E-6</v>
          </cell>
          <cell r="K371"/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48.833373305126543</v>
          </cell>
          <cell r="F372">
            <v>51.606340102713503</v>
          </cell>
          <cell r="G372">
            <v>52.543539496186668</v>
          </cell>
          <cell r="H372">
            <v>52.595320644968687</v>
          </cell>
          <cell r="I372">
            <v>51.840347199427868</v>
          </cell>
          <cell r="J372">
            <v>52.307245325722462</v>
          </cell>
          <cell r="K372"/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48.833373305126543</v>
          </cell>
          <cell r="F373">
            <v>51.606340102713503</v>
          </cell>
          <cell r="G373">
            <v>52.543539496186668</v>
          </cell>
          <cell r="H373">
            <v>52.595320644968687</v>
          </cell>
          <cell r="I373">
            <v>51.840347199427868</v>
          </cell>
          <cell r="J373">
            <v>52.307245325722462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8.3499632512200897E-2</v>
          </cell>
          <cell r="E374">
            <v>4.1873110196895102E-2</v>
          </cell>
          <cell r="F374">
            <v>0.150802599875974</v>
          </cell>
          <cell r="G374">
            <v>5.09691694557717E-2</v>
          </cell>
          <cell r="H374">
            <v>2.8210693242901302E-3</v>
          </cell>
          <cell r="I374">
            <v>3.72269965656442E-6</v>
          </cell>
          <cell r="J374">
            <v>2.5088605462248301</v>
          </cell>
          <cell r="K374"/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2.6138268645449112</v>
          </cell>
          <cell r="E375">
            <v>2.655699496131624</v>
          </cell>
          <cell r="F375">
            <v>2.8065009076838852</v>
          </cell>
          <cell r="G375">
            <v>2.8574676783854356</v>
          </cell>
          <cell r="H375">
            <v>2.8602842718956203</v>
          </cell>
          <cell r="I375">
            <v>2.8192285002862203</v>
          </cell>
          <cell r="J375">
            <v>2.8446172977146906</v>
          </cell>
          <cell r="K375"/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0.34658995554695199</v>
          </cell>
          <cell r="F376">
            <v>5.326136484807914E-2</v>
          </cell>
          <cell r="G376">
            <v>0.20478970937031019</v>
          </cell>
          <cell r="H376">
            <v>0.22431242175915611</v>
          </cell>
          <cell r="I376">
            <v>0.24709306510630114</v>
          </cell>
          <cell r="J376">
            <v>0.27536443686292028</v>
          </cell>
          <cell r="K376"/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0.34658995554695199</v>
          </cell>
          <cell r="F377">
            <v>5.326136484807914E-2</v>
          </cell>
          <cell r="G377">
            <v>0.20478970937031019</v>
          </cell>
          <cell r="H377">
            <v>0.22431242175915611</v>
          </cell>
          <cell r="I377">
            <v>0.24709306510630114</v>
          </cell>
          <cell r="J377">
            <v>0.27536443686292028</v>
          </cell>
          <cell r="K377"/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0.35009086418884044</v>
          </cell>
          <cell r="F378">
            <v>5.8925009638907032E-2</v>
          </cell>
          <cell r="G378">
            <v>0.22557087135310827</v>
          </cell>
          <cell r="H378">
            <v>0.24694140779927132</v>
          </cell>
          <cell r="I378">
            <v>0.27180171866477953</v>
          </cell>
          <cell r="J378">
            <v>0.30290015288896244</v>
          </cell>
          <cell r="K378"/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3.4039212757875699E-2</v>
          </cell>
          <cell r="F379">
            <v>1.33604528879116E-2</v>
          </cell>
          <cell r="G379">
            <v>9.8515471913126207E-3</v>
          </cell>
          <cell r="H379">
            <v>1.8945202757909198E-2</v>
          </cell>
          <cell r="I379">
            <v>2.2557219106464899E-2</v>
          </cell>
          <cell r="J379">
            <v>4.02558733401924E-2</v>
          </cell>
          <cell r="K379"/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3.4039212757875699E-2</v>
          </cell>
          <cell r="F380">
            <v>2.28255390425521E-2</v>
          </cell>
          <cell r="G380">
            <v>2.0792266143322302E-2</v>
          </cell>
          <cell r="H380">
            <v>3.3032206285465798E-2</v>
          </cell>
          <cell r="I380">
            <v>4.2922236665654798E-2</v>
          </cell>
          <cell r="J380">
            <v>6.7074173364012113E-2</v>
          </cell>
          <cell r="K380"/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2.4265388604003867E-5</v>
          </cell>
          <cell r="K381"/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2.4265388604003867E-5</v>
          </cell>
          <cell r="K382"/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1.9687165132197699E-6</v>
          </cell>
          <cell r="K383"/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1.9687165132197699E-6</v>
          </cell>
          <cell r="K384"/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2.367404232946277</v>
          </cell>
          <cell r="E385">
            <v>2.3075021521775896</v>
          </cell>
          <cell r="F385">
            <v>1.9391803353997341E-2</v>
          </cell>
          <cell r="G385">
            <v>3.9297835510985574E-4</v>
          </cell>
          <cell r="H385">
            <v>5.8308941214448961E-4</v>
          </cell>
          <cell r="I385">
            <v>4.3340389540325683E-3</v>
          </cell>
          <cell r="J385">
            <v>6.4410960852175124E-4</v>
          </cell>
          <cell r="K385"/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330.01259006634598</v>
          </cell>
          <cell r="E386">
            <v>321.17935361390801</v>
          </cell>
          <cell r="F386">
            <v>2.6930639264652498</v>
          </cell>
          <cell r="G386">
            <v>5.4371781371169603E-2</v>
          </cell>
          <cell r="H386">
            <v>8.0375298893374303E-2</v>
          </cell>
          <cell r="I386">
            <v>0.59520801635380605</v>
          </cell>
          <cell r="J386">
            <v>8.7807295161715204E-2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3.5600063653327489</v>
          </cell>
          <cell r="E387">
            <v>3.4647179462125965</v>
          </cell>
          <cell r="F387">
            <v>2.9051390792505381E-2</v>
          </cell>
          <cell r="G387">
            <v>5.8653485837291939E-4</v>
          </cell>
          <cell r="H387">
            <v>8.670474530029583E-4</v>
          </cell>
          <cell r="I387">
            <v>6.4207984504186123E-3</v>
          </cell>
          <cell r="J387">
            <v>9.4722001253198665E-4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8.8164783741167896E-6</v>
          </cell>
          <cell r="F388">
            <v>5.4764450466421203E-6</v>
          </cell>
          <cell r="G388">
            <v>8.7721004935959006E-6</v>
          </cell>
          <cell r="H388">
            <v>5.2112843389023697E-5</v>
          </cell>
          <cell r="I388">
            <v>3.4291468173437299E-4</v>
          </cell>
          <cell r="J388">
            <v>3.4485744905659801E-6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0.16193535068362203</v>
          </cell>
          <cell r="F389">
            <v>1.8400449536127295E-3</v>
          </cell>
          <cell r="G389">
            <v>3.7412282107351924E-5</v>
          </cell>
          <cell r="H389">
            <v>5.5213234417067492E-5</v>
          </cell>
          <cell r="I389">
            <v>3.9330920034895861E-4</v>
          </cell>
          <cell r="J389">
            <v>6.1112184211170969E-5</v>
          </cell>
          <cell r="K389"/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21.6801794860801</v>
          </cell>
          <cell r="G390">
            <v>22.174250774977594</v>
          </cell>
          <cell r="H390">
            <v>24.219516962976776</v>
          </cell>
          <cell r="I390">
            <v>26.856109822146408</v>
          </cell>
          <cell r="J390">
            <v>28.73650219611239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6.2093027225628532</v>
          </cell>
          <cell r="E391">
            <v>5.5359159487629075</v>
          </cell>
          <cell r="F391">
            <v>5.1881758133312292</v>
          </cell>
          <cell r="G391">
            <v>3.2226531544003061</v>
          </cell>
          <cell r="H391">
            <v>2.0985766353158017</v>
          </cell>
          <cell r="I391">
            <v>1.1357347332032888</v>
          </cell>
          <cell r="J391">
            <v>0.44105763191390257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6.8080083055414233</v>
          </cell>
          <cell r="E392">
            <v>5.5475915122468953</v>
          </cell>
          <cell r="F392">
            <v>4.4460804356377412</v>
          </cell>
          <cell r="G392">
            <v>1.9705541034838459</v>
          </cell>
          <cell r="H392">
            <v>1.2942732655732179</v>
          </cell>
          <cell r="I392">
            <v>0.59659725788489837</v>
          </cell>
          <cell r="J392">
            <v>3.1767164671142052E-2</v>
          </cell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0.5605435440302291</v>
          </cell>
          <cell r="E393">
            <v>0.59701342872110286</v>
          </cell>
          <cell r="F393">
            <v>1.270781871991419</v>
          </cell>
          <cell r="G393">
            <v>1.2703734398113522</v>
          </cell>
          <cell r="H393">
            <v>1.1974926319464432</v>
          </cell>
          <cell r="I393">
            <v>1.127285561247843</v>
          </cell>
          <cell r="J393">
            <v>0.83635590953411998</v>
          </cell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6.8121540761694965E-2</v>
          </cell>
          <cell r="E394">
            <v>1.8684540119251412E-4</v>
          </cell>
          <cell r="F394">
            <v>0.87725979797314457</v>
          </cell>
          <cell r="G394">
            <v>1.735291396094784</v>
          </cell>
          <cell r="H394">
            <v>2.5088014488452242</v>
          </cell>
          <cell r="I394">
            <v>3.3344589449343838</v>
          </cell>
          <cell r="J394">
            <v>3.7523651777943012</v>
          </cell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3.1084730892658598E-2</v>
          </cell>
          <cell r="E395">
            <v>1.8939404176835137E-4</v>
          </cell>
          <cell r="H395"/>
          <cell r="I395">
            <v>4.4575634567075079E-6</v>
          </cell>
          <cell r="J395">
            <v>3.9082850046762768E-6</v>
          </cell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0.27736264712256442</v>
          </cell>
          <cell r="E396">
            <v>0.19462160589497807</v>
          </cell>
          <cell r="F396">
            <v>0.10886936486639397</v>
          </cell>
          <cell r="G396">
            <v>0.15610228432633927</v>
          </cell>
          <cell r="H396">
            <v>0.18017239029060314</v>
          </cell>
          <cell r="I396">
            <v>0.20426900096843778</v>
          </cell>
          <cell r="J396">
            <v>0.19944208812228628</v>
          </cell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1.282151729005484</v>
          </cell>
          <cell r="E397">
            <v>1.4631420317874859</v>
          </cell>
          <cell r="F397">
            <v>0.96167999384694836</v>
          </cell>
          <cell r="G397">
            <v>1.3814757057453073</v>
          </cell>
          <cell r="H397">
            <v>1.5122490092543421</v>
          </cell>
          <cell r="I397">
            <v>1.6791711052110894</v>
          </cell>
          <cell r="J397">
            <v>1.7662143971390136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6.4662538796579501</v>
          </cell>
          <cell r="E398">
            <v>6.9684740357729131</v>
          </cell>
          <cell r="F398">
            <v>2.8134320491075937</v>
          </cell>
          <cell r="G398">
            <v>1.9810625429981914</v>
          </cell>
          <cell r="H398">
            <v>1.8369936099790107</v>
          </cell>
          <cell r="I398">
            <v>1.7153995318797814</v>
          </cell>
          <cell r="J398">
            <v>1.5591597034761868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1.6156396138722418</v>
          </cell>
          <cell r="E399">
            <v>1.986494802720459</v>
          </cell>
          <cell r="F399">
            <v>0.95045392903554071</v>
          </cell>
          <cell r="G399">
            <v>1.2517601284179127</v>
          </cell>
          <cell r="H399">
            <v>1.4503610704467902</v>
          </cell>
          <cell r="I399">
            <v>1.7173144135267773</v>
          </cell>
          <cell r="J399">
            <v>1.9393013940028025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3.1202399618338674</v>
          </cell>
          <cell r="E400">
            <v>3.6352221866324799</v>
          </cell>
          <cell r="F400">
            <v>5.0635125490137858</v>
          </cell>
          <cell r="G400">
            <v>9.2050394008623506</v>
          </cell>
          <cell r="H400">
            <v>12.140653086349731</v>
          </cell>
          <cell r="I400">
            <v>15.345921457269732</v>
          </cell>
          <cell r="J400">
            <v>18.210877844083356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0.87726412425959288</v>
          </cell>
          <cell r="G401">
            <v>1.7352946661903565</v>
          </cell>
          <cell r="H401">
            <v>2.508802912014569</v>
          </cell>
          <cell r="I401">
            <v>3.3344588678175238</v>
          </cell>
          <cell r="J401">
            <v>3.7523681046266182</v>
          </cell>
          <cell r="K401"/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24.6741838743194</v>
          </cell>
          <cell r="G402">
            <v>42.746206783068097</v>
          </cell>
          <cell r="H402">
            <v>57.1139543557208</v>
          </cell>
          <cell r="I402">
            <v>70.998365706850706</v>
          </cell>
          <cell r="J402">
            <v>66.436345281925298</v>
          </cell>
          <cell r="K402"/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0.43748552968651438</v>
          </cell>
          <cell r="G403">
            <v>0.75791146778489582</v>
          </cell>
          <cell r="H403">
            <v>1.0126587651723533</v>
          </cell>
          <cell r="I403">
            <v>1.2588362713980639</v>
          </cell>
          <cell r="J403">
            <v>1.1779493844312996</v>
          </cell>
          <cell r="K403"/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4.94074606277424E-7</v>
          </cell>
          <cell r="F404">
            <v>5.8119225343523602E-2</v>
          </cell>
          <cell r="G404">
            <v>5.6849422518475301E-2</v>
          </cell>
          <cell r="H404">
            <v>5.6524466420521002E-2</v>
          </cell>
          <cell r="I404">
            <v>0.122281610936317</v>
          </cell>
          <cell r="J404">
            <v>0.143833118207288</v>
          </cell>
          <cell r="K404"/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2.1899461376230227E-7</v>
          </cell>
          <cell r="F405">
            <v>5.8119402260157778E-2</v>
          </cell>
          <cell r="G405">
            <v>0.11496886332761562</v>
          </cell>
          <cell r="H405">
            <v>0.17149278954203598</v>
          </cell>
          <cell r="I405">
            <v>0.2279271785424502</v>
          </cell>
          <cell r="J405">
            <v>0.25648634624283978</v>
          </cell>
          <cell r="K405"/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1.2588029611348589E-5</v>
          </cell>
          <cell r="E406">
            <v>1.3120699521776367E-5</v>
          </cell>
          <cell r="F406">
            <v>1.945170236238034E-5</v>
          </cell>
          <cell r="G406">
            <v>1.2692224830204143E-5</v>
          </cell>
          <cell r="H406">
            <v>2.9765050870566308E-5</v>
          </cell>
          <cell r="I406">
            <v>1.2692631371431677E-5</v>
          </cell>
          <cell r="J406">
            <v>7.7155049600019129E-6</v>
          </cell>
          <cell r="K406"/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1.723193700734232E-5</v>
          </cell>
          <cell r="E407">
            <v>1.5752002060614697E-5</v>
          </cell>
          <cell r="F407">
            <v>2.1234074154580449E-5</v>
          </cell>
          <cell r="G407">
            <v>1.4954486676297162E-5</v>
          </cell>
          <cell r="H407">
            <v>3.6955265866021962E-5</v>
          </cell>
          <cell r="I407">
            <v>1.4572930966623824E-5</v>
          </cell>
          <cell r="J407">
            <v>7.7188752589175956E-6</v>
          </cell>
          <cell r="K407"/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1.18048386869533E-2</v>
          </cell>
          <cell r="E408">
            <v>8.9560466098913494E-2</v>
          </cell>
          <cell r="F408">
            <v>7.1594291844654406E-5</v>
          </cell>
          <cell r="G408">
            <v>0.157427633774614</v>
          </cell>
          <cell r="H408">
            <v>0.14462268953157001</v>
          </cell>
          <cell r="I408">
            <v>0.20792291337906199</v>
          </cell>
          <cell r="J408">
            <v>0.28595264693227301</v>
          </cell>
          <cell r="K408"/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1.18048386869533E-2</v>
          </cell>
          <cell r="E409">
            <v>0.10132152284522652</v>
          </cell>
          <cell r="F409">
            <v>0.10132058171372411</v>
          </cell>
          <cell r="G409">
            <v>0.25872280682514809</v>
          </cell>
          <cell r="H409">
            <v>0.35087033130711903</v>
          </cell>
          <cell r="I409">
            <v>0.46000136901951749</v>
          </cell>
          <cell r="J409">
            <v>0.49795112079572934</v>
          </cell>
          <cell r="K409"/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1928.71092772201</v>
          </cell>
          <cell r="E410">
            <v>1569.1207756599399</v>
          </cell>
          <cell r="F410">
            <v>1724.6522954807699</v>
          </cell>
          <cell r="G410">
            <v>858.59697987642403</v>
          </cell>
          <cell r="H410">
            <v>554.45402404779998</v>
          </cell>
          <cell r="I410">
            <v>194.71433440576999</v>
          </cell>
          <cell r="J410">
            <v>18.2643603339367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23.443738662383087</v>
          </cell>
          <cell r="E411">
            <v>19.072872386187715</v>
          </cell>
          <cell r="F411">
            <v>20.038649170147991</v>
          </cell>
          <cell r="G411">
            <v>10.137268873798464</v>
          </cell>
          <cell r="H411">
            <v>6.5463187638291442</v>
          </cell>
          <cell r="I411">
            <v>2.2989500402599816</v>
          </cell>
          <cell r="J411">
            <v>0.21564335287983957</v>
          </cell>
          <cell r="K411"/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26.169754785915977</v>
          </cell>
          <cell r="E412">
            <v>21.29064824504675</v>
          </cell>
          <cell r="F412">
            <v>23.40098094275135</v>
          </cell>
          <cell r="G412">
            <v>11.649891178784591</v>
          </cell>
          <cell r="H412">
            <v>7.5231210861302564</v>
          </cell>
          <cell r="I412">
            <v>2.641985541462287</v>
          </cell>
          <cell r="J412">
            <v>0.24782035731257424</v>
          </cell>
          <cell r="K412"/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2.4411791452768299E-7</v>
          </cell>
          <cell r="F413">
            <v>2.8356278313808502E-7</v>
          </cell>
          <cell r="G413">
            <v>3.9112450246449502E-7</v>
          </cell>
          <cell r="H413">
            <v>5.0787336840291401E-2</v>
          </cell>
          <cell r="I413">
            <v>0.111589505191794</v>
          </cell>
          <cell r="J413">
            <v>1.6168019024394901E-7</v>
          </cell>
          <cell r="K413"/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1.5884771683856538</v>
          </cell>
          <cell r="F414">
            <v>1.588430366429302</v>
          </cell>
          <cell r="G414">
            <v>1.5882814485892134</v>
          </cell>
          <cell r="H414">
            <v>0.46268217819895896</v>
          </cell>
          <cell r="I414">
            <v>0.16237674116939593</v>
          </cell>
          <cell r="J414">
            <v>2.4507396137258788E-2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1.5440557720855579</v>
          </cell>
          <cell r="G415">
            <v>1.4779621483809431</v>
          </cell>
          <cell r="H415">
            <v>1.3565552509363621</v>
          </cell>
          <cell r="I415">
            <v>1.274592290876114</v>
          </cell>
          <cell r="J415">
            <v>1.0247540946712805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48.536518854025203</v>
          </cell>
          <cell r="G416">
            <v>45.438214753991701</v>
          </cell>
          <cell r="H416">
            <v>40.497954524440502</v>
          </cell>
          <cell r="I416">
            <v>36.447121728407602</v>
          </cell>
          <cell r="J416">
            <v>27.288291355313</v>
          </cell>
          <cell r="K416"/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1.5440557720855579</v>
          </cell>
          <cell r="G417">
            <v>1.4779621483809431</v>
          </cell>
          <cell r="H417">
            <v>1.3565552509363621</v>
          </cell>
          <cell r="I417">
            <v>1.274592290876114</v>
          </cell>
          <cell r="J417">
            <v>1.0247540946712805</v>
          </cell>
          <cell r="K417"/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0.86057657542597898</v>
          </cell>
          <cell r="G418">
            <v>0.80564210556722815</v>
          </cell>
          <cell r="H418">
            <v>0.7180488390858244</v>
          </cell>
          <cell r="I418">
            <v>0.64622556256041752</v>
          </cell>
          <cell r="J418">
            <v>0.48383495310838665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1.0719681550237401E-6</v>
          </cell>
          <cell r="F419">
            <v>0.12473871274797101</v>
          </cell>
          <cell r="G419">
            <v>6.4661942376419498E-8</v>
          </cell>
          <cell r="H419">
            <v>3.52622013700492E-7</v>
          </cell>
          <cell r="I419">
            <v>8.0901552678388194E-2</v>
          </cell>
          <cell r="J419">
            <v>2.4137890618526701E-2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1.0719681550237401E-6</v>
          </cell>
          <cell r="F420">
            <v>0.12473974287453032</v>
          </cell>
          <cell r="G420">
            <v>0.12473686892498366</v>
          </cell>
          <cell r="H420">
            <v>0.1247364205006445</v>
          </cell>
          <cell r="I420">
            <v>0.10299561636685259</v>
          </cell>
          <cell r="J420">
            <v>8.2850901068087582E-2</v>
          </cell>
          <cell r="K420"/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1.6492587778120112E-5</v>
          </cell>
          <cell r="E421">
            <v>6.6496188987711172E-6</v>
          </cell>
          <cell r="F421">
            <v>2.6777930031411599E-6</v>
          </cell>
          <cell r="G421">
            <v>4.4808377529166481E-6</v>
          </cell>
          <cell r="H421">
            <v>7.2937767974267495E-6</v>
          </cell>
          <cell r="I421">
            <v>1.1537922989132924E-6</v>
          </cell>
          <cell r="J421">
            <v>5.1256187860530741E-6</v>
          </cell>
          <cell r="K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1.9783277997767466E-5</v>
          </cell>
          <cell r="E422">
            <v>1.8438737050940498E-5</v>
          </cell>
          <cell r="F422">
            <v>5.287261482018938E-6</v>
          </cell>
          <cell r="G422">
            <v>1.422191455371371E-5</v>
          </cell>
          <cell r="H422">
            <v>1.0862838845558803E-5</v>
          </cell>
          <cell r="I422">
            <v>1.9587639479004523E-5</v>
          </cell>
          <cell r="J422">
            <v>8.2623217896767681E-6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1.1082782404920822E-6</v>
          </cell>
          <cell r="H423">
            <v>8.5602820411769964E-7</v>
          </cell>
          <cell r="I423">
            <v>7.4595548011030097E-6</v>
          </cell>
          <cell r="J423">
            <v>5.2054348598473452E-6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3.6275865775887587E-5</v>
          </cell>
          <cell r="E424">
            <v>2.5868991707652732E-5</v>
          </cell>
          <cell r="F424">
            <v>8.3534063474619072E-6</v>
          </cell>
          <cell r="G424">
            <v>2.0831093026713571E-5</v>
          </cell>
          <cell r="H424">
            <v>2.0108449579469523E-5</v>
          </cell>
          <cell r="I424">
            <v>2.8200986579020838E-5</v>
          </cell>
          <cell r="J424">
            <v>1.8593375435577178E-5</v>
          </cell>
          <cell r="K424"/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6.7646973880495023E-2</v>
          </cell>
          <cell r="E425">
            <v>8.5493008233653592E-2</v>
          </cell>
          <cell r="F425">
            <v>8.4165697869743025E-2</v>
          </cell>
          <cell r="G425">
            <v>8.6333798014645663E-2</v>
          </cell>
          <cell r="H425">
            <v>8.5954619366779186E-2</v>
          </cell>
          <cell r="I425">
            <v>5.9087339030451845E-2</v>
          </cell>
          <cell r="J425">
            <v>5.3591679581240705E-2</v>
          </cell>
          <cell r="K425"/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6.7646973880495023E-2</v>
          </cell>
          <cell r="E426">
            <v>8.5493008233653592E-2</v>
          </cell>
          <cell r="F426">
            <v>8.4165697869743025E-2</v>
          </cell>
          <cell r="G426">
            <v>8.6333798014645663E-2</v>
          </cell>
          <cell r="H426">
            <v>8.5954619366779186E-2</v>
          </cell>
          <cell r="I426">
            <v>5.9087339030451845E-2</v>
          </cell>
          <cell r="J426">
            <v>5.3591679581240705E-2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2.7693817312897202E-3</v>
          </cell>
          <cell r="F427">
            <v>1.1872187067281E-7</v>
          </cell>
          <cell r="G427">
            <v>1.04946007612354E-7</v>
          </cell>
          <cell r="H427">
            <v>8.6233490348483106E-3</v>
          </cell>
          <cell r="I427">
            <v>3.9653653386102199E-3</v>
          </cell>
          <cell r="J427">
            <v>6.0624878638991797E-3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1.25908617091527E-2</v>
          </cell>
          <cell r="F428">
            <v>1.2590980431023371E-2</v>
          </cell>
          <cell r="G428">
            <v>1.2591085377030981E-2</v>
          </cell>
          <cell r="H428">
            <v>1.258949701056488E-2</v>
          </cell>
          <cell r="I428">
            <v>1.2588807078391001E-2</v>
          </cell>
          <cell r="J428">
            <v>1.2587916942951499E-2</v>
          </cell>
          <cell r="K428"/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1.7785016282342798</v>
          </cell>
          <cell r="G429">
            <v>2.983109106058301</v>
          </cell>
          <cell r="H429">
            <v>3.8454070539171967</v>
          </cell>
          <cell r="I429">
            <v>4.8363581784920679</v>
          </cell>
          <cell r="J429">
            <v>4.7779871949749273</v>
          </cell>
          <cell r="K429"/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52.154654863133302</v>
          </cell>
          <cell r="G430">
            <v>82.834906671709106</v>
          </cell>
          <cell r="H430">
            <v>102.69759407187</v>
          </cell>
          <cell r="I430">
            <v>124.499922387319</v>
          </cell>
          <cell r="J430">
            <v>112.672241970017</v>
          </cell>
          <cell r="K430"/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1.7785016282342798</v>
          </cell>
          <cell r="G431">
            <v>2.983109106058301</v>
          </cell>
          <cell r="H431">
            <v>3.8454070539171967</v>
          </cell>
          <cell r="I431">
            <v>4.8363581784920679</v>
          </cell>
          <cell r="J431">
            <v>4.7779871949749273</v>
          </cell>
          <cell r="K431"/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0.92472792310519969</v>
          </cell>
          <cell r="G432">
            <v>1.4687040190019338</v>
          </cell>
          <cell r="H432">
            <v>1.8208793275154249</v>
          </cell>
          <cell r="I432">
            <v>2.2074454323992736</v>
          </cell>
          <cell r="J432">
            <v>1.9977347867024311</v>
          </cell>
          <cell r="K432"/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5.8768057755896695E-7</v>
          </cell>
          <cell r="E433">
            <v>5.4076573532009498E-5</v>
          </cell>
          <cell r="F433">
            <v>0.137490356679208</v>
          </cell>
          <cell r="G433">
            <v>9.3088532597036602E-2</v>
          </cell>
          <cell r="H433">
            <v>6.7993054497022504E-2</v>
          </cell>
          <cell r="I433">
            <v>0.21959302179095</v>
          </cell>
          <cell r="J433">
            <v>0.18807402386849401</v>
          </cell>
          <cell r="K433"/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5.8768057755896695E-7</v>
          </cell>
          <cell r="E434">
            <v>5.4436831861523735E-5</v>
          </cell>
          <cell r="F434">
            <v>0.13754460521909825</v>
          </cell>
          <cell r="G434">
            <v>0.23063315110610794</v>
          </cell>
          <cell r="H434">
            <v>0.29859874007546794</v>
          </cell>
          <cell r="I434">
            <v>0.37551618789162866</v>
          </cell>
          <cell r="J434">
            <v>0.37620048560222624</v>
          </cell>
          <cell r="K434"/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E435">
            <v>6.0645008611257003</v>
          </cell>
          <cell r="F435">
            <v>2.1701981817676299</v>
          </cell>
          <cell r="G435">
            <v>3.1567204582931598</v>
          </cell>
          <cell r="H435">
            <v>3.3165200319089401</v>
          </cell>
          <cell r="I435">
            <v>3.2431496879533399</v>
          </cell>
          <cell r="J435">
            <v>1.9570578879622</v>
          </cell>
          <cell r="K435"/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E436">
            <v>0.1021502804622237</v>
          </cell>
          <cell r="F436">
            <v>3.6927632871204666E-2</v>
          </cell>
          <cell r="G436">
            <v>5.3714087100526615E-2</v>
          </cell>
          <cell r="H436">
            <v>5.6433202818636764E-2</v>
          </cell>
          <cell r="I436">
            <v>5.5184748576997122E-2</v>
          </cell>
          <cell r="J436">
            <v>3.3300882749565108E-2</v>
          </cell>
          <cell r="K436"/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E437">
            <v>0.10752661101286712</v>
          </cell>
          <cell r="F437">
            <v>3.8478691166092704E-2</v>
          </cell>
          <cell r="G437">
            <v>5.5970220891722745E-2</v>
          </cell>
          <cell r="H437">
            <v>5.8803546665052137E-2</v>
          </cell>
          <cell r="I437">
            <v>5.7502654041725901E-2</v>
          </cell>
          <cell r="J437">
            <v>3.4699607942592123E-2</v>
          </cell>
          <cell r="K437"/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E438">
            <v>7.4891520255092403E-3</v>
          </cell>
          <cell r="F438">
            <v>5.5425586648363202E-7</v>
          </cell>
          <cell r="G438">
            <v>5.2079716532784701E-7</v>
          </cell>
          <cell r="H438">
            <v>4.1043508873505398E-4</v>
          </cell>
          <cell r="I438">
            <v>3.6560381614300398E-3</v>
          </cell>
          <cell r="J438">
            <v>1.4360700487519199E-6</v>
          </cell>
          <cell r="K438"/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E439">
            <v>7.4891520255092403E-3</v>
          </cell>
          <cell r="F439">
            <v>7.4878687890122487E-3</v>
          </cell>
          <cell r="G439">
            <v>7.4865530853301986E-3</v>
          </cell>
          <cell r="H439">
            <v>4.245451017503051E-3</v>
          </cell>
          <cell r="I439">
            <v>4.0664865485790826E-3</v>
          </cell>
          <cell r="J439">
            <v>2.8270525329993834E-3</v>
          </cell>
          <cell r="K439"/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D440">
            <v>2.822634865529208E-5</v>
          </cell>
          <cell r="E440">
            <v>2.1928459387410025E-2</v>
          </cell>
          <cell r="F440">
            <v>9.5160498367353449E-2</v>
          </cell>
          <cell r="G440">
            <v>1.3694601321353657E-5</v>
          </cell>
          <cell r="H440">
            <v>1.4309057077348788E-5</v>
          </cell>
          <cell r="I440">
            <v>2.1913006468149091E-5</v>
          </cell>
          <cell r="J440">
            <v>1.3358410175132816E-5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E441">
            <v>2.5507682194752217E-6</v>
          </cell>
          <cell r="F441">
            <v>2.9787431697467912E-5</v>
          </cell>
          <cell r="G441">
            <v>1.1084164358811024E-6</v>
          </cell>
          <cell r="H441">
            <v>1.7397421399280975E-6</v>
          </cell>
          <cell r="I441">
            <v>1.2520005669420693E-5</v>
          </cell>
          <cell r="J441">
            <v>6.3420628602190166E-6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D442">
            <v>1.4921950726713891E-5</v>
          </cell>
          <cell r="E442">
            <v>3.1703160811227633E-3</v>
          </cell>
          <cell r="F442">
            <v>2.8957291006783363E-4</v>
          </cell>
          <cell r="G442">
            <v>4.9790540517023908E-6</v>
          </cell>
          <cell r="H442">
            <v>6.611065877872122E-6</v>
          </cell>
          <cell r="I442">
            <v>2.9721498124526952E-6</v>
          </cell>
          <cell r="J442">
            <v>3.0427215083922535E-6</v>
          </cell>
          <cell r="K442"/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D443">
            <v>4.3148299382005976E-5</v>
          </cell>
          <cell r="E443">
            <v>2.5101961390777677E-2</v>
          </cell>
          <cell r="F443">
            <v>9.5479861014260897E-2</v>
          </cell>
          <cell r="G443">
            <v>2.0939567905289862E-5</v>
          </cell>
          <cell r="H443">
            <v>2.3668129010400481E-5</v>
          </cell>
          <cell r="I443">
            <v>3.7405161950022456E-5</v>
          </cell>
          <cell r="J443">
            <v>2.2743194543744072E-5</v>
          </cell>
          <cell r="K443"/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E444">
            <v>2.9501450018762262E-4</v>
          </cell>
          <cell r="F444">
            <v>0.93978752033926183</v>
          </cell>
          <cell r="G444">
            <v>1.5931854179095248</v>
          </cell>
          <cell r="H444">
            <v>2.1419464935719139</v>
          </cell>
          <cell r="I444">
            <v>2.5912592433468959</v>
          </cell>
          <cell r="J444">
            <v>3.2690873365530555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E445">
            <v>9.0680686533080906E-5</v>
          </cell>
          <cell r="F445">
            <v>0.28002104017184481</v>
          </cell>
          <cell r="G445">
            <v>0.44283632615754553</v>
          </cell>
          <cell r="H445">
            <v>0.56886576650002418</v>
          </cell>
          <cell r="I445">
            <v>0.66340432137905581</v>
          </cell>
          <cell r="J445">
            <v>0.78199213844379045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E446">
            <v>2.9501450018762262E-4</v>
          </cell>
          <cell r="F446">
            <v>0.93978752033926183</v>
          </cell>
          <cell r="G446">
            <v>1.5931854179095248</v>
          </cell>
          <cell r="H446">
            <v>2.1419464935719139</v>
          </cell>
          <cell r="I446">
            <v>2.5912592433468959</v>
          </cell>
          <cell r="J446">
            <v>3.2690873365530555</v>
          </cell>
          <cell r="K446"/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E447">
            <v>1.03708231958511E-4</v>
          </cell>
          <cell r="F447">
            <v>7.2920671283421598E-2</v>
          </cell>
          <cell r="G447">
            <v>5.0776112869800799E-2</v>
          </cell>
          <cell r="H447">
            <v>4.2596411348733702E-2</v>
          </cell>
          <cell r="I447">
            <v>0.110990318243899</v>
          </cell>
          <cell r="J447">
            <v>0.155205935062568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E448">
            <v>1.03708231958511E-4</v>
          </cell>
          <cell r="F448">
            <v>7.3024182111855976E-2</v>
          </cell>
          <cell r="G448">
            <v>0.12379963158529893</v>
          </cell>
          <cell r="H448">
            <v>0.16634521002219949</v>
          </cell>
          <cell r="I448">
            <v>0.20118142523550342</v>
          </cell>
          <cell r="J448">
            <v>0.25377317622750789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G449">
            <v>5.311523541400966E-3</v>
          </cell>
          <cell r="H449">
            <v>6.921918226215019</v>
          </cell>
          <cell r="I449">
            <v>7.2619943306730015</v>
          </cell>
          <cell r="J449">
            <v>8.3875248312167301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G450">
            <v>5.311523541400966E-3</v>
          </cell>
          <cell r="H450">
            <v>6.921918226215019</v>
          </cell>
          <cell r="I450">
            <v>7.2619943306730015</v>
          </cell>
          <cell r="J450">
            <v>8.3875248312167301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G451">
            <v>5.4837746555928195E-4</v>
          </cell>
          <cell r="H451">
            <v>0.243550022677988</v>
          </cell>
          <cell r="I451">
            <v>0.217251958150421</v>
          </cell>
          <cell r="J451">
            <v>0.221106784454349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G452">
            <v>5.4837746555928195E-4</v>
          </cell>
          <cell r="H452">
            <v>0.243966341047093</v>
          </cell>
          <cell r="I452">
            <v>0.260390006577424</v>
          </cell>
          <cell r="J452">
            <v>0.29552019601768098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D453">
            <v>0.72844814067226749</v>
          </cell>
          <cell r="E453">
            <v>0.71170704411674224</v>
          </cell>
          <cell r="F453">
            <v>8.3259690615714466E-3</v>
          </cell>
          <cell r="G453">
            <v>1.8314173813420184E-3</v>
          </cell>
          <cell r="H453">
            <v>2.3241691988437919E-4</v>
          </cell>
          <cell r="I453">
            <v>2.5476518785237916E-4</v>
          </cell>
          <cell r="J453">
            <v>3.3756798612262864E-4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D454">
            <v>0.7291765888129399</v>
          </cell>
          <cell r="E454">
            <v>0.71241875116085907</v>
          </cell>
          <cell r="F454">
            <v>8.334295030633012E-3</v>
          </cell>
          <cell r="G454">
            <v>1.8332487987233596E-3</v>
          </cell>
          <cell r="H454">
            <v>2.3264933680426357E-4</v>
          </cell>
          <cell r="I454">
            <v>2.5501995304023174E-4</v>
          </cell>
          <cell r="J454">
            <v>3.3790555410875156E-4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D455">
            <v>0.72845677542956477</v>
          </cell>
          <cell r="E455">
            <v>0.7117075038034677</v>
          </cell>
          <cell r="F455">
            <v>8.3253061931800529E-3</v>
          </cell>
          <cell r="G455">
            <v>1.8312783370630526E-3</v>
          </cell>
          <cell r="H455">
            <v>2.3268685216164042E-4</v>
          </cell>
          <cell r="I455">
            <v>2.5536095128333097E-4</v>
          </cell>
          <cell r="J455">
            <v>3.3816688470803029E-4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D456">
            <v>7.6954162148457197E-2</v>
          </cell>
          <cell r="E456">
            <v>4.2874410237035799E-5</v>
          </cell>
          <cell r="F456">
            <v>1.83788972310087E-5</v>
          </cell>
          <cell r="G456">
            <v>2.3840109400188099E-5</v>
          </cell>
          <cell r="H456">
            <v>4.1395376900163998E-5</v>
          </cell>
          <cell r="I456">
            <v>4.8120515443243799E-5</v>
          </cell>
          <cell r="J456">
            <v>5.0730241751783099E-5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D457">
            <v>7.6954162148457197E-2</v>
          </cell>
          <cell r="E457">
            <v>7.6893697856163193E-2</v>
          </cell>
          <cell r="F457">
            <v>1.1162145054783995E-3</v>
          </cell>
          <cell r="G457">
            <v>3.4504947434219058E-4</v>
          </cell>
          <cell r="H457">
            <v>9.5915568092300868E-5</v>
          </cell>
          <cell r="I457">
            <v>7.2538119165914796E-5</v>
          </cell>
          <cell r="J457">
            <v>7.7996433568713392E-5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G458">
            <v>1.3551787854811101E-5</v>
          </cell>
          <cell r="H458">
            <v>2.4751570819362298E-5</v>
          </cell>
          <cell r="I458">
            <v>1.5332000953585801E-5</v>
          </cell>
          <cell r="J458">
            <v>8.18476227777161E-6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G459">
            <v>1.3551787854811101E-5</v>
          </cell>
          <cell r="H459">
            <v>3.1612972942632786E-5</v>
          </cell>
          <cell r="I459">
            <v>2.7779406871409902E-5</v>
          </cell>
          <cell r="J459">
            <v>1.3938192034187303E-5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D460">
            <v>72.708169056255471</v>
          </cell>
          <cell r="E460">
            <v>73.852692481414579</v>
          </cell>
          <cell r="F460">
            <v>76.069974404053468</v>
          </cell>
          <cell r="G460">
            <v>76.975818676210253</v>
          </cell>
          <cell r="H460">
            <v>77.516379530222721</v>
          </cell>
          <cell r="I460">
            <v>77.99625616821676</v>
          </cell>
          <cell r="J460">
            <v>78.644300668313321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F461">
            <v>1.5223164902038778E-2</v>
          </cell>
          <cell r="G461">
            <v>8.2568745955510815E-3</v>
          </cell>
          <cell r="H461">
            <v>5.958753159494133E-3</v>
          </cell>
          <cell r="I461">
            <v>1.728967541626806E-3</v>
          </cell>
          <cell r="J461">
            <v>2.8015550392844605E-3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D462">
            <v>61.718476062025843</v>
          </cell>
          <cell r="E462">
            <v>60.310036628304893</v>
          </cell>
          <cell r="F462">
            <v>62.310295550770704</v>
          </cell>
          <cell r="G462">
            <v>55.797771488369577</v>
          </cell>
          <cell r="H462">
            <v>53.997699991183026</v>
          </cell>
          <cell r="I462">
            <v>51.966559837799728</v>
          </cell>
          <cell r="J462">
            <v>51.363231748203752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D463">
            <v>1.1081275654045448</v>
          </cell>
          <cell r="E463">
            <v>1.4007910747059393</v>
          </cell>
          <cell r="F463">
            <v>1.4301634520674016</v>
          </cell>
          <cell r="G463">
            <v>5.9278189334896219</v>
          </cell>
          <cell r="H463">
            <v>6.8051555481074377</v>
          </cell>
          <cell r="I463">
            <v>6.8093083738501399</v>
          </cell>
          <cell r="J463">
            <v>6.8054262474612193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E464">
            <v>1.7213296226103687</v>
          </cell>
          <cell r="F464">
            <v>1.7213292695779612</v>
          </cell>
          <cell r="G464">
            <v>4.5795019470351939</v>
          </cell>
          <cell r="H464">
            <v>6.045626828527416</v>
          </cell>
          <cell r="I464">
            <v>8.6185582935789569</v>
          </cell>
          <cell r="J464">
            <v>9.7107391452540437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D465">
            <v>9.813904098005775</v>
          </cell>
          <cell r="E465">
            <v>10.335083591520025</v>
          </cell>
          <cell r="F465">
            <v>10.508912661087676</v>
          </cell>
          <cell r="G465">
            <v>10.57621908091431</v>
          </cell>
          <cell r="H465">
            <v>10.576119629897974</v>
          </cell>
          <cell r="I465">
            <v>10.541257454565535</v>
          </cell>
          <cell r="J465">
            <v>10.708672934594068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D466">
            <v>6.7661330819375157E-2</v>
          </cell>
          <cell r="E466">
            <v>8.5514999651298967E-2</v>
          </cell>
          <cell r="F466">
            <v>8.413410315693122E-2</v>
          </cell>
          <cell r="G466">
            <v>8.6312933427165409E-2</v>
          </cell>
          <cell r="H466">
            <v>8.5929840216361908E-2</v>
          </cell>
          <cell r="I466">
            <v>5.8992244664331658E-2</v>
          </cell>
          <cell r="J466">
            <v>5.3552430032920921E-2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E467">
            <v>2.4742421334327733E-3</v>
          </cell>
          <cell r="F467">
            <v>2.3791704418144916E-3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E468">
            <v>6.7918207144387367E-4</v>
          </cell>
          <cell r="F468">
            <v>8.0908051252518841E-4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E469">
            <v>3.1534242048766449E-3</v>
          </cell>
          <cell r="F469">
            <v>3.1837151270122711E-3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F470">
            <v>1.3568974359633635E-2</v>
          </cell>
          <cell r="G470">
            <v>3.1099325925425289E-2</v>
          </cell>
          <cell r="H470">
            <v>4.6633235294359525E-2</v>
          </cell>
          <cell r="I470">
            <v>6.1613852392842103E-2</v>
          </cell>
          <cell r="J470">
            <v>7.2022512894680896E-2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F471">
            <v>1.3582543333993266E-2</v>
          </cell>
          <cell r="G471">
            <v>3.1130425251350697E-2</v>
          </cell>
          <cell r="H471">
            <v>4.667986852965391E-2</v>
          </cell>
          <cell r="I471">
            <v>6.1675466245234963E-2</v>
          </cell>
          <cell r="J471">
            <v>7.2094535407575502E-2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F472">
            <v>1.3587376542569248E-2</v>
          </cell>
          <cell r="G472">
            <v>3.1118614384548434E-2</v>
          </cell>
          <cell r="H472">
            <v>4.6653152605060554E-2</v>
          </cell>
          <cell r="I472">
            <v>6.1623900222552028E-2</v>
          </cell>
          <cell r="J472">
            <v>7.2032447035572406E-2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D473">
            <v>1.6768342622549699E-5</v>
          </cell>
          <cell r="E473">
            <v>1.41758728038084E-5</v>
          </cell>
          <cell r="F473">
            <v>4.9136507821166296E-3</v>
          </cell>
          <cell r="G473">
            <v>5.9179172427777996E-3</v>
          </cell>
          <cell r="H473">
            <v>4.97212384406153E-3</v>
          </cell>
          <cell r="I473">
            <v>1.01245798149552E-2</v>
          </cell>
          <cell r="J473">
            <v>1.36038173673796E-2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D474">
            <v>1.6768342622549699E-5</v>
          </cell>
          <cell r="E474">
            <v>7.3457479652940086E-7</v>
          </cell>
          <cell r="F474">
            <v>4.9068743221350247E-3</v>
          </cell>
          <cell r="G474">
            <v>1.0811382808375109E-2</v>
          </cell>
          <cell r="H474">
            <v>1.5731379174907096E-2</v>
          </cell>
          <cell r="I474">
            <v>1.9907974271037698E-2</v>
          </cell>
          <cell r="J474">
            <v>2.2988536011866775E-2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D475">
            <v>0.43672966925582346</v>
          </cell>
          <cell r="E475">
            <v>0.55206768262756589</v>
          </cell>
          <cell r="F475">
            <v>4.0588397060294454</v>
          </cell>
          <cell r="G475">
            <v>8.2117635912634483</v>
          </cell>
          <cell r="H475">
            <v>10.374441755179081</v>
          </cell>
          <cell r="I475">
            <v>11.284572032970509</v>
          </cell>
          <cell r="J475">
            <v>11.970915084348777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D476">
            <v>0.43672966925582346</v>
          </cell>
          <cell r="E476">
            <v>0.55206768262756589</v>
          </cell>
          <cell r="F476">
            <v>4.0588397060294454</v>
          </cell>
          <cell r="G476">
            <v>8.2117635912634483</v>
          </cell>
          <cell r="H476">
            <v>10.374441755179081</v>
          </cell>
          <cell r="I476">
            <v>11.284572032970509</v>
          </cell>
          <cell r="J476">
            <v>11.970915084348777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E477">
            <v>7.1826305467060899E-3</v>
          </cell>
          <cell r="F477">
            <v>1.19338990795403</v>
          </cell>
          <cell r="G477">
            <v>1.88256860406892</v>
          </cell>
          <cell r="H477">
            <v>1.8556392939181601</v>
          </cell>
          <cell r="I477">
            <v>1.54205068989324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E478">
            <v>8.7305832629003388E-5</v>
          </cell>
          <cell r="F478">
            <v>1.5374165136895667E-2</v>
          </cell>
          <cell r="G478">
            <v>2.4252694285064789E-2</v>
          </cell>
          <cell r="H478">
            <v>2.390577023407265E-2</v>
          </cell>
          <cell r="I478">
            <v>1.9865881048489485E-2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E479">
            <v>9.7457673632375804E-5</v>
          </cell>
          <cell r="F479">
            <v>1.6192536064505207E-2</v>
          </cell>
          <cell r="G479">
            <v>2.5543671697000316E-2</v>
          </cell>
          <cell r="H479">
            <v>2.5178280785863677E-2</v>
          </cell>
          <cell r="I479">
            <v>2.0923347217004673E-2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  <cell r="E480">
            <v>2.2303711417233002E-5</v>
          </cell>
          <cell r="F480">
            <v>8.1857380037302797E-3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E481">
            <v>2.2303711417233002E-5</v>
          </cell>
          <cell r="F481">
            <v>8.2023361978300086E-3</v>
          </cell>
          <cell r="G481">
            <v>8.1982415627192377E-3</v>
          </cell>
          <cell r="H481">
            <v>8.1904945788192265E-3</v>
          </cell>
          <cell r="I481">
            <v>1.4498568678444996E-3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D482">
            <v>1522.8535352149299</v>
          </cell>
          <cell r="E482">
            <v>1526.96065029037</v>
          </cell>
          <cell r="F482">
            <v>1325.50765389244</v>
          </cell>
          <cell r="G482">
            <v>925.60761794532596</v>
          </cell>
          <cell r="H482">
            <v>614.82343434213601</v>
          </cell>
          <cell r="I482">
            <v>330.17018995789903</v>
          </cell>
          <cell r="J482">
            <v>176.88092978063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D483">
            <v>27.219898609328194</v>
          </cell>
          <cell r="E483">
            <v>28.48848834550672</v>
          </cell>
          <cell r="F483">
            <v>23.431094175302199</v>
          </cell>
          <cell r="G483">
            <v>16.359886886161966</v>
          </cell>
          <cell r="H483">
            <v>10.867066045953077</v>
          </cell>
          <cell r="I483">
            <v>5.9720952309751016</v>
          </cell>
          <cell r="J483">
            <v>3.1262930315180615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D484">
            <v>27.000949205938415</v>
          </cell>
          <cell r="E484">
            <v>27.07377039521926</v>
          </cell>
          <cell r="F484">
            <v>23.501908756958223</v>
          </cell>
          <cell r="G484">
            <v>16.411482587683093</v>
          </cell>
          <cell r="H484">
            <v>10.901124722378299</v>
          </cell>
          <cell r="I484">
            <v>5.8540813822322688</v>
          </cell>
          <cell r="J484">
            <v>3.1361866982381277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D485">
            <v>0.30590662467220447</v>
          </cell>
          <cell r="E485">
            <v>1.5057278331903059</v>
          </cell>
          <cell r="F485">
            <v>4.0388507661247245E-3</v>
          </cell>
          <cell r="G485">
            <v>7.125699945034565E-4</v>
          </cell>
          <cell r="H485">
            <v>7.0168574815310475E-4</v>
          </cell>
          <cell r="I485">
            <v>0.13731401846740249</v>
          </cell>
          <cell r="J485">
            <v>2.6378258809285648E-4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1.4205046757999899E-6</v>
          </cell>
          <cell r="E486">
            <v>1.42118786919093E-7</v>
          </cell>
          <cell r="F486">
            <v>1.8144361829259701E-7</v>
          </cell>
          <cell r="G486">
            <v>2.23343946267997E-7</v>
          </cell>
          <cell r="H486">
            <v>4.8231050290552502E-7</v>
          </cell>
          <cell r="I486">
            <v>4.59637889003632E-7</v>
          </cell>
          <cell r="J486">
            <v>8.5029317996230097E-7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2.2350536221298158</v>
          </cell>
          <cell r="E487">
            <v>2.2350537642486028</v>
          </cell>
          <cell r="F487">
            <v>2.2350539456922212</v>
          </cell>
          <cell r="G487">
            <v>2.2350541690361676</v>
          </cell>
          <cell r="H487">
            <v>2.2350546513466703</v>
          </cell>
          <cell r="I487">
            <v>2.2350551109845593</v>
          </cell>
          <cell r="J487">
            <v>1.1208942621414593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0.62579068270623206</v>
          </cell>
          <cell r="E488">
            <v>0.73757504239591842</v>
          </cell>
          <cell r="F488">
            <v>4.1320262560192482</v>
          </cell>
          <cell r="G488">
            <v>4.1204293641236873</v>
          </cell>
          <cell r="H488">
            <v>4.1088934800497601</v>
          </cell>
          <cell r="I488">
            <v>4.0974231652492881</v>
          </cell>
          <cell r="J488">
            <v>4.0746661507520701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0.62579068270623206</v>
          </cell>
          <cell r="E489">
            <v>0.73757504239591842</v>
          </cell>
          <cell r="F489">
            <v>4.1320262560192482</v>
          </cell>
          <cell r="G489">
            <v>4.1204293641236873</v>
          </cell>
          <cell r="H489">
            <v>4.1088934800497601</v>
          </cell>
          <cell r="I489">
            <v>4.0974231652492881</v>
          </cell>
          <cell r="J489">
            <v>4.0746661507520701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5.311127034814473</v>
          </cell>
          <cell r="E490">
            <v>6.2669404487548341</v>
          </cell>
          <cell r="F490">
            <v>3.5222808899944016</v>
          </cell>
          <cell r="G490">
            <v>3.3495469053066258</v>
          </cell>
          <cell r="H490">
            <v>3.6816530423370555</v>
          </cell>
          <cell r="I490">
            <v>4.0909147689327705</v>
          </cell>
          <cell r="J490">
            <v>6.1451601245950824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9.0019102284991028</v>
          </cell>
          <cell r="E491">
            <v>10.609944326334386</v>
          </cell>
          <cell r="F491">
            <v>5.953150799990536</v>
          </cell>
          <cell r="G491">
            <v>5.6453037729886955</v>
          </cell>
          <cell r="H491">
            <v>6.1876521719950492</v>
          </cell>
          <cell r="I491">
            <v>6.8562817356415113</v>
          </cell>
          <cell r="J491">
            <v>10.241933540991802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5.311127034814473</v>
          </cell>
          <cell r="E492">
            <v>6.2669404487548341</v>
          </cell>
          <cell r="F492">
            <v>3.5222808899944016</v>
          </cell>
          <cell r="G492">
            <v>3.3495469053066258</v>
          </cell>
          <cell r="H492">
            <v>3.6816530423370555</v>
          </cell>
          <cell r="I492">
            <v>4.0909147689327705</v>
          </cell>
          <cell r="J492">
            <v>6.1451601245950824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5.23059170394694E-2</v>
          </cell>
          <cell r="F493">
            <v>5.6670095932726901E-6</v>
          </cell>
          <cell r="G493">
            <v>1.03806483276049E-5</v>
          </cell>
          <cell r="H493">
            <v>0.108811211883824</v>
          </cell>
          <cell r="I493">
            <v>0.12935248317871301</v>
          </cell>
          <cell r="J493">
            <v>0.23606559208864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0.34113821555474549</v>
          </cell>
          <cell r="F494">
            <v>0.34034076025461885</v>
          </cell>
          <cell r="G494">
            <v>0.3401170754384073</v>
          </cell>
          <cell r="H494">
            <v>0.21021750085391955</v>
          </cell>
          <cell r="I494">
            <v>0.23815865440154604</v>
          </cell>
          <cell r="J494">
            <v>0.37595150021238349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5.5160873733093208E-4</v>
          </cell>
          <cell r="E495">
            <v>2.1313134064685434E-4</v>
          </cell>
          <cell r="F495">
            <v>3.5822855049453151E-4</v>
          </cell>
          <cell r="G495">
            <v>2.1124195118675231E-3</v>
          </cell>
          <cell r="H495">
            <v>2.4049480267743872</v>
          </cell>
          <cell r="I495">
            <v>3.1350018218991349</v>
          </cell>
          <cell r="J495">
            <v>4.9631534867452896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0.17209767144850147</v>
          </cell>
          <cell r="E496">
            <v>0.52142977854430916</v>
          </cell>
          <cell r="F496">
            <v>1.1579965498702618</v>
          </cell>
          <cell r="G496">
            <v>1.8283742889269905</v>
          </cell>
          <cell r="H496">
            <v>4.1467512939695273E-3</v>
          </cell>
          <cell r="I496">
            <v>0.10328773927868841</v>
          </cell>
          <cell r="J496">
            <v>0.11255584081784309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0.17264928018583237</v>
          </cell>
          <cell r="E497">
            <v>0.52164290988495643</v>
          </cell>
          <cell r="F497">
            <v>1.1583517056424442</v>
          </cell>
          <cell r="G497">
            <v>1.8304820283237186</v>
          </cell>
          <cell r="H497">
            <v>2.4090870311034065</v>
          </cell>
          <cell r="I497">
            <v>3.2382895611778206</v>
          </cell>
          <cell r="J497">
            <v>5.0757093275631346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9.1696246907065349E-2</v>
          </cell>
          <cell r="E498">
            <v>8.4702879529278047E-2</v>
          </cell>
          <cell r="F498">
            <v>4.0264590885148131E-3</v>
          </cell>
          <cell r="G498">
            <v>5.4080933106049993E-3</v>
          </cell>
          <cell r="H498">
            <v>7.879489578414535E-3</v>
          </cell>
          <cell r="I498">
            <v>2.6288600414734807E-3</v>
          </cell>
          <cell r="J498">
            <v>2.9501993747986528E-3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D499">
            <v>9.1787943153972373E-2</v>
          </cell>
          <cell r="E499">
            <v>8.4787582408807294E-2</v>
          </cell>
          <cell r="F499">
            <v>4.0304855476033293E-3</v>
          </cell>
          <cell r="G499">
            <v>5.4135014039156035E-3</v>
          </cell>
          <cell r="H499">
            <v>7.8873690679929463E-3</v>
          </cell>
          <cell r="I499">
            <v>2.6314889015149529E-3</v>
          </cell>
          <cell r="J499">
            <v>2.9531495741734496E-3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D500">
            <v>9.1696394006849036E-2</v>
          </cell>
          <cell r="E500">
            <v>8.4707450655048824E-2</v>
          </cell>
          <cell r="F500">
            <v>4.0310890542766559E-3</v>
          </cell>
          <cell r="G500">
            <v>5.4124842391474921E-3</v>
          </cell>
          <cell r="H500">
            <v>7.8814239405693067E-3</v>
          </cell>
          <cell r="I500">
            <v>2.6312904057103916E-3</v>
          </cell>
          <cell r="J500">
            <v>2.9542106020228514E-3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D501">
            <v>1.59065446821351E-2</v>
          </cell>
          <cell r="E501">
            <v>1.8672717444643899E-4</v>
          </cell>
          <cell r="F501">
            <v>2.9132035527192898E-7</v>
          </cell>
          <cell r="G501">
            <v>3.9259336912782801E-7</v>
          </cell>
          <cell r="H501">
            <v>4.65096671523624E-4</v>
          </cell>
          <cell r="I501">
            <v>4.2404975494229599E-5</v>
          </cell>
          <cell r="J501">
            <v>2.66968257484941E-4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D502">
            <v>1.59065446821351E-2</v>
          </cell>
          <cell r="E502">
            <v>1.6093271856581499E-2</v>
          </cell>
          <cell r="F502">
            <v>1.60935631769368E-2</v>
          </cell>
          <cell r="G502">
            <v>1.6093955770305899E-2</v>
          </cell>
          <cell r="H502">
            <v>4.6865651529811496E-3</v>
          </cell>
          <cell r="I502">
            <v>5.0782138213584E-4</v>
          </cell>
          <cell r="J502">
            <v>4.9447637419233802E-4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3.3331053694255107E-5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2.0525610138668712E-4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2.3858715508094205E-4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1.21861068261975E-5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1.21861068261975E-5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D508">
            <v>1.1296737282556862E-5</v>
          </cell>
          <cell r="E508">
            <v>2.6553956417804116E-4</v>
          </cell>
          <cell r="F508">
            <v>2.7067676121919066E-5</v>
          </cell>
          <cell r="G508">
            <v>2.0658563273932028E-5</v>
          </cell>
          <cell r="H508">
            <v>7.2589099824491357E-5</v>
          </cell>
          <cell r="I508">
            <v>2.9700237408467732E-5</v>
          </cell>
          <cell r="J508">
            <v>8.4880907269972911E-4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D509">
            <v>1.1296737282556884E-5</v>
          </cell>
          <cell r="E509">
            <v>2.6575660801083062E-4</v>
          </cell>
          <cell r="F509">
            <v>2.7102245312368515E-5</v>
          </cell>
          <cell r="G509">
            <v>2.0658563273931995E-5</v>
          </cell>
          <cell r="H509">
            <v>7.2669844095708781E-5</v>
          </cell>
          <cell r="I509">
            <v>2.9700237408467705E-5</v>
          </cell>
          <cell r="J509">
            <v>8.4880907269972911E-4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D510">
            <v>1.4062386999201374E-5</v>
          </cell>
          <cell r="E510">
            <v>3.2432389291755137E-4</v>
          </cell>
          <cell r="F510">
            <v>3.3046222779351554E-5</v>
          </cell>
          <cell r="G510">
            <v>2.4349415875482916E-5</v>
          </cell>
          <cell r="H510">
            <v>5.3920956960705372E-5</v>
          </cell>
          <cell r="I510">
            <v>3.2405110309891517E-5</v>
          </cell>
          <cell r="J510">
            <v>8.5787398269508177E-4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D511">
            <v>1.4062386999201374E-5</v>
          </cell>
          <cell r="E511">
            <v>3.2432389291755137E-4</v>
          </cell>
          <cell r="F511">
            <v>3.3046222779351554E-5</v>
          </cell>
          <cell r="G511">
            <v>2.4349415875482916E-5</v>
          </cell>
          <cell r="H511">
            <v>5.3920956960705372E-5</v>
          </cell>
          <cell r="I511">
            <v>3.2405110309891517E-5</v>
          </cell>
          <cell r="J511">
            <v>8.5787398269508177E-4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D512">
            <v>7.85685931912483E-4</v>
          </cell>
          <cell r="E512">
            <v>5.2125194815118598E-6</v>
          </cell>
          <cell r="F512">
            <v>3.86651535992761E-6</v>
          </cell>
          <cell r="G512">
            <v>2.5681983190005101E-6</v>
          </cell>
          <cell r="H512">
            <v>2.7635767674982E-4</v>
          </cell>
          <cell r="I512">
            <v>2.5392135107919197E-4</v>
          </cell>
          <cell r="J512">
            <v>4.6875571740235899E-4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D513">
            <v>7.85685931912483E-4</v>
          </cell>
          <cell r="E513">
            <v>7.894604999930478E-4</v>
          </cell>
          <cell r="F513">
            <v>7.9140122295223031E-4</v>
          </cell>
          <cell r="G513">
            <v>7.9098756482592946E-4</v>
          </cell>
          <cell r="H513">
            <v>1.0640424231582297E-3</v>
          </cell>
          <cell r="I513">
            <v>8.0369568970586078E-4</v>
          </cell>
          <cell r="J513">
            <v>9.3784797507380198E-4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ITOT_ELC</v>
          </cell>
          <cell r="G514">
            <v>3.5829290017884728E-2</v>
          </cell>
          <cell r="H514">
            <v>1.6279003228441287E-2</v>
          </cell>
          <cell r="I514">
            <v>3.7210845915613633E-2</v>
          </cell>
          <cell r="J514">
            <v>1.7547970313379588</v>
          </cell>
        </row>
        <row r="515">
          <cell r="A515" t="str">
            <v>D-ITOT_KEV_HFC_ELC_CHP</v>
          </cell>
          <cell r="B515" t="str">
            <v>VAR_fout</v>
          </cell>
          <cell r="C515" t="str">
            <v>ELC5</v>
          </cell>
          <cell r="G515">
            <v>1.9404619097640962E-3</v>
          </cell>
          <cell r="H515">
            <v>2.7294701539262918E-3</v>
          </cell>
          <cell r="I515">
            <v>9.2064351291217209E-3</v>
          </cell>
          <cell r="J515">
            <v>9.4174236217149626E-2</v>
          </cell>
        </row>
        <row r="516">
          <cell r="A516" t="str">
            <v>D-ITOT_KEV_HFC_ELC_CHP</v>
          </cell>
          <cell r="B516" t="str">
            <v>VAR_fin</v>
          </cell>
          <cell r="C516" t="str">
            <v>ITOT_KEV_HFC_ELC_CHP</v>
          </cell>
          <cell r="G516">
            <v>3.776468495388307E-2</v>
          </cell>
          <cell r="H516">
            <v>1.9000533211861771E-2</v>
          </cell>
          <cell r="I516">
            <v>4.6411059864727683E-2</v>
          </cell>
          <cell r="J516">
            <v>1.8489661511552427</v>
          </cell>
        </row>
        <row r="517">
          <cell r="A517" t="str">
            <v>D-RNGA</v>
          </cell>
          <cell r="B517" t="str">
            <v>VAR_fout</v>
          </cell>
          <cell r="C517" t="str">
            <v>CO2</v>
          </cell>
          <cell r="D517">
            <v>2653.5325996075699</v>
          </cell>
          <cell r="E517">
            <v>2631.4490938948702</v>
          </cell>
          <cell r="F517">
            <v>2628.1362091869801</v>
          </cell>
          <cell r="G517">
            <v>1863.0595302691299</v>
          </cell>
          <cell r="H517">
            <v>1276.98030377134</v>
          </cell>
          <cell r="I517">
            <v>719.99385420687997</v>
          </cell>
          <cell r="J517">
            <v>420.57728407663899</v>
          </cell>
        </row>
        <row r="518">
          <cell r="A518" t="str">
            <v>D-RNGA</v>
          </cell>
          <cell r="B518" t="str">
            <v>VAR_fout</v>
          </cell>
          <cell r="C518" t="str">
            <v>RNGA</v>
          </cell>
          <cell r="D518">
            <v>47.208107741281346</v>
          </cell>
          <cell r="E518">
            <v>48.283022792420439</v>
          </cell>
          <cell r="F518">
            <v>46.453833302211642</v>
          </cell>
          <cell r="G518">
            <v>32.928511277388097</v>
          </cell>
          <cell r="H518">
            <v>22.570116510489036</v>
          </cell>
          <cell r="I518">
            <v>12.951016743887498</v>
          </cell>
          <cell r="J518">
            <v>7.4335516224237246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47.048450347651972</v>
          </cell>
          <cell r="E519">
            <v>46.656898827923193</v>
          </cell>
          <cell r="F519">
            <v>46.598159737357761</v>
          </cell>
          <cell r="G519">
            <v>33.032970394842778</v>
          </cell>
          <cell r="H519">
            <v>22.641494747718731</v>
          </cell>
          <cell r="I519">
            <v>12.765848478845387</v>
          </cell>
          <cell r="J519">
            <v>7.457044043912032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0.31046933933503029</v>
          </cell>
          <cell r="E520">
            <v>1.7803698548807694</v>
          </cell>
          <cell r="F520">
            <v>4.0758906616505507E-3</v>
          </cell>
          <cell r="G520">
            <v>7.3494967778758706E-4</v>
          </cell>
          <cell r="H520">
            <v>7.2469907956760466E-4</v>
          </cell>
          <cell r="I520">
            <v>0.226541836817471</v>
          </cell>
          <cell r="J520">
            <v>2.5494813355953584E-4</v>
          </cell>
        </row>
        <row r="521">
          <cell r="A521" t="str">
            <v>D-RNGA</v>
          </cell>
          <cell r="B521" t="str">
            <v>VAR_ncap</v>
          </cell>
          <cell r="C521" t="str">
            <v>-</v>
          </cell>
          <cell r="D521">
            <v>2.3128746290509899E-7</v>
          </cell>
          <cell r="E521">
            <v>8.2751284011778095E-8</v>
          </cell>
          <cell r="F521">
            <v>9.9658606581239097E-8</v>
          </cell>
          <cell r="G521">
            <v>9.9093113946501296E-8</v>
          </cell>
          <cell r="H521">
            <v>1.5285019798623E-7</v>
          </cell>
          <cell r="I521">
            <v>2.0734992000548101E-7</v>
          </cell>
          <cell r="J521">
            <v>3.6487160473825899E-7</v>
          </cell>
        </row>
        <row r="522">
          <cell r="A522" t="str">
            <v>D-RNGA</v>
          </cell>
          <cell r="B522" t="str">
            <v>VAR_cap</v>
          </cell>
          <cell r="C522" t="str">
            <v>-</v>
          </cell>
          <cell r="D522">
            <v>3.0972402386833831</v>
          </cell>
          <cell r="E522">
            <v>3.0972403214346671</v>
          </cell>
          <cell r="F522">
            <v>3.0972404210932738</v>
          </cell>
          <cell r="G522">
            <v>3.0972405201863875</v>
          </cell>
          <cell r="H522">
            <v>3.0972406730365853</v>
          </cell>
          <cell r="I522">
            <v>3.0972408803865057</v>
          </cell>
          <cell r="J522">
            <v>1.5532834858984101</v>
          </cell>
        </row>
        <row r="523">
          <cell r="A523" t="str">
            <v>RHNS-SHLTHCHPNGA</v>
          </cell>
          <cell r="B523" t="str">
            <v>VAR_fout</v>
          </cell>
          <cell r="C523" t="str">
            <v>RHNS-SHLTHC-NGA</v>
          </cell>
          <cell r="E523">
            <v>8.6220531525627714E-4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RHNSLTHCHPC</v>
          </cell>
          <cell r="E524">
            <v>8.6220531525627714E-4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RHNS_LTH_CHPNGA_ON</v>
          </cell>
          <cell r="E525">
            <v>8.7091445985482499E-4</v>
          </cell>
        </row>
        <row r="526">
          <cell r="A526" t="str">
            <v>RHNS-SHLTHCHPNGA</v>
          </cell>
          <cell r="B526" t="str">
            <v>VAR_ncap</v>
          </cell>
          <cell r="C526" t="str">
            <v>-</v>
          </cell>
          <cell r="E526">
            <v>2.2615986923628598E-3</v>
          </cell>
          <cell r="F526">
            <v>1.1886419659961E-3</v>
          </cell>
          <cell r="G526">
            <v>9.8677380794703895E-4</v>
          </cell>
          <cell r="H526">
            <v>9.9315170570872004E-4</v>
          </cell>
          <cell r="I526">
            <v>4.0617295534638398E-4</v>
          </cell>
          <cell r="J526">
            <v>1.26763342028983E-8</v>
          </cell>
        </row>
        <row r="527">
          <cell r="A527" t="str">
            <v>RHNS-SHLTHCHPNGA</v>
          </cell>
          <cell r="B527" t="str">
            <v>VAR_cap</v>
          </cell>
          <cell r="C527" t="str">
            <v>-</v>
          </cell>
          <cell r="E527">
            <v>2.2615986923628598E-3</v>
          </cell>
          <cell r="F527">
            <v>1.87153887775621E-3</v>
          </cell>
          <cell r="G527">
            <v>1.8593798059814799E-3</v>
          </cell>
          <cell r="H527">
            <v>1.7961433266583098E-3</v>
          </cell>
          <cell r="I527">
            <v>8.2148980675022013E-4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0.95906196631828178</v>
          </cell>
          <cell r="E528">
            <v>1.1058533686646985</v>
          </cell>
          <cell r="F528">
            <v>1.1058199696759405</v>
          </cell>
          <cell r="G528">
            <v>1.1053438571841301</v>
          </cell>
          <cell r="H528">
            <v>1.5866890318763421E-3</v>
          </cell>
          <cell r="I528">
            <v>1.3353930654512807E-3</v>
          </cell>
          <cell r="J528">
            <v>7.642059088643127E-4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3.0675145087655161E-4</v>
          </cell>
          <cell r="E529">
            <v>1.1685027312893926E-4</v>
          </cell>
          <cell r="F529">
            <v>1.5038122405886632E-4</v>
          </cell>
          <cell r="G529">
            <v>6.3495339102579492E-4</v>
          </cell>
          <cell r="H529">
            <v>1.1044566452543605</v>
          </cell>
          <cell r="I529">
            <v>1.1047065035273922</v>
          </cell>
          <cell r="J529">
            <v>1.1052742288037929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0.95936871776915844</v>
          </cell>
          <cell r="E530">
            <v>1.1059702189378271</v>
          </cell>
          <cell r="F530">
            <v>1.1059691502201241</v>
          </cell>
          <cell r="G530">
            <v>1.1059761397393844</v>
          </cell>
          <cell r="H530">
            <v>1.1060363779401254</v>
          </cell>
          <cell r="I530">
            <v>1.1060360144973964</v>
          </cell>
          <cell r="J530">
            <v>1.1060337504029119</v>
          </cell>
        </row>
        <row r="531">
          <cell r="A531" t="str">
            <v>RHES-SHLTHCHPWOD</v>
          </cell>
          <cell r="B531" t="str">
            <v>VAR_ncap</v>
          </cell>
          <cell r="C531" t="str">
            <v>-</v>
          </cell>
          <cell r="G531">
            <v>6.0155831058182801E-6</v>
          </cell>
          <cell r="H531">
            <v>9.4695470897375994E-6</v>
          </cell>
          <cell r="I531">
            <v>5.7304608903999196E-6</v>
          </cell>
          <cell r="J531">
            <v>2.9653987346189002E-6</v>
          </cell>
        </row>
        <row r="532">
          <cell r="A532" t="str">
            <v>RHES-SHLTHCHPWOD</v>
          </cell>
          <cell r="B532" t="str">
            <v>VAR_cap</v>
          </cell>
          <cell r="C532" t="str">
            <v>-</v>
          </cell>
          <cell r="G532">
            <v>6.0155831058182801E-6</v>
          </cell>
          <cell r="H532">
            <v>1.2347391267507159E-5</v>
          </cell>
          <cell r="I532">
            <v>1.046223116215322E-5</v>
          </cell>
          <cell r="J532">
            <v>5.0894526785693E-6</v>
          </cell>
        </row>
        <row r="533">
          <cell r="A533" t="str">
            <v>RHES-SHSTG-NGAHP</v>
          </cell>
          <cell r="B533" t="str">
            <v>VAR_fout</v>
          </cell>
          <cell r="C533" t="str">
            <v>RHES-SHANGAH</v>
          </cell>
          <cell r="F533">
            <v>0.10048319615749743</v>
          </cell>
          <cell r="G533">
            <v>9.6250983377225097E-2</v>
          </cell>
          <cell r="H533">
            <v>0.1039740454902022</v>
          </cell>
          <cell r="I533">
            <v>8.6551833704425207E-2</v>
          </cell>
          <cell r="J533">
            <v>5.9560619995849204E-2</v>
          </cell>
        </row>
        <row r="534">
          <cell r="A534" t="str">
            <v>RHES-SHSTG-NGAHP</v>
          </cell>
          <cell r="B534" t="str">
            <v>VAR_fout</v>
          </cell>
          <cell r="C534" t="str">
            <v>AUX_RHES-SHSTG-NGAHP_OUT</v>
          </cell>
          <cell r="F534">
            <v>0.10058367935365493</v>
          </cell>
          <cell r="G534">
            <v>9.634723436060226E-2</v>
          </cell>
          <cell r="H534">
            <v>0.10407801953569244</v>
          </cell>
          <cell r="I534">
            <v>8.6638385538129609E-2</v>
          </cell>
          <cell r="J534">
            <v>5.962018061584503E-2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0.10050330469791045</v>
          </cell>
          <cell r="G535">
            <v>9.6270206560646276E-2</v>
          </cell>
          <cell r="H535">
            <v>0.10398429098880288</v>
          </cell>
          <cell r="I535">
            <v>8.6561350600009343E-2</v>
          </cell>
          <cell r="J535">
            <v>5.9569807755517082E-2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9.5317585248745393E-6</v>
          </cell>
          <cell r="E536">
            <v>9.7257455843285506E-6</v>
          </cell>
          <cell r="F536">
            <v>2.2014256639045E-2</v>
          </cell>
          <cell r="G536">
            <v>2.42689011223597E-5</v>
          </cell>
          <cell r="H536">
            <v>6.2687156890335906E-5</v>
          </cell>
          <cell r="I536">
            <v>1.42529205625243E-2</v>
          </cell>
          <cell r="J536">
            <v>4.2813254271592497E-3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9.5317585248745393E-6</v>
          </cell>
          <cell r="E537">
            <v>6.5729427982300065E-7</v>
          </cell>
          <cell r="F537">
            <v>2.2011694801760781E-2</v>
          </cell>
          <cell r="G537">
            <v>2.2012299795886248E-2</v>
          </cell>
          <cell r="H537">
            <v>2.2007823854989377E-2</v>
          </cell>
          <cell r="I537">
            <v>1.8176069793236504E-2</v>
          </cell>
          <cell r="J537">
            <v>1.4620951732018141E-2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2.3854422420556337E-5</v>
          </cell>
          <cell r="F538">
            <v>1.97162696549278</v>
          </cell>
          <cell r="G538">
            <v>6.8408512485841957</v>
          </cell>
          <cell r="H538">
            <v>7.1890696484101646</v>
          </cell>
          <cell r="I538">
            <v>7.5563123594908124</v>
          </cell>
          <cell r="J538">
            <v>8.3466995246209912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2.3063078120172243E-5</v>
          </cell>
          <cell r="F539">
            <v>1.1580187346704803E-3</v>
          </cell>
          <cell r="G539">
            <v>6.3132624037196754E-4</v>
          </cell>
          <cell r="H539">
            <v>1.2499337631374952E-3</v>
          </cell>
          <cell r="I539">
            <v>9.673398827876455E-4</v>
          </cell>
          <cell r="J539">
            <v>8.0848981872451897E-4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4.580285602008919E-5</v>
          </cell>
          <cell r="F540">
            <v>1.9727849842274501</v>
          </cell>
          <cell r="G540">
            <v>6.8414825748245649</v>
          </cell>
          <cell r="H540">
            <v>7.1903195821733012</v>
          </cell>
          <cell r="I540">
            <v>7.5572796993735984</v>
          </cell>
          <cell r="J540">
            <v>8.3475080144397094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213.780868433677</v>
          </cell>
          <cell r="E541">
            <v>188.342282215155</v>
          </cell>
          <cell r="F541">
            <v>0.31621603593098502</v>
          </cell>
          <cell r="G541">
            <v>5.6509617958628897E-2</v>
          </cell>
          <cell r="H541">
            <v>0.11482562712856199</v>
          </cell>
          <cell r="I541">
            <v>0.35962894850966798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2.7300062180726159</v>
          </cell>
          <cell r="E542">
            <v>2.4051525533627287</v>
          </cell>
          <cell r="F542">
            <v>4.0381150599249392E-3</v>
          </cell>
          <cell r="G542">
            <v>7.2163430496974355E-4</v>
          </cell>
          <cell r="H542">
            <v>1.4663364329643668E-3</v>
          </cell>
          <cell r="I542">
            <v>4.5925029345406446E-3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2.7763749147230832</v>
          </cell>
          <cell r="E543">
            <v>2.4460036651318813</v>
          </cell>
          <cell r="F543">
            <v>4.106701765337473E-3</v>
          </cell>
          <cell r="G543">
            <v>7.3389114231985552E-4</v>
          </cell>
          <cell r="H543">
            <v>1.4912419107605481E-3</v>
          </cell>
          <cell r="I543">
            <v>4.6705058248008805E-3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1.7955216834298024E-4</v>
          </cell>
          <cell r="G544">
            <v>1.7762209233475416E-4</v>
          </cell>
          <cell r="H544">
            <v>3.9523538859009681E-4</v>
          </cell>
          <cell r="I544">
            <v>4.0882504564770293E-4</v>
          </cell>
          <cell r="J544">
            <v>1.1010752276015344E-3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1.7955216834298024E-4</v>
          </cell>
          <cell r="G545">
            <v>1.7762209233475416E-4</v>
          </cell>
          <cell r="H545">
            <v>3.9523538859009681E-4</v>
          </cell>
          <cell r="I545">
            <v>4.0882504564770293E-4</v>
          </cell>
          <cell r="J545">
            <v>1.1010752276015344E-3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2.7189129728600001E-8</v>
          </cell>
          <cell r="E546">
            <v>4.4153781530013402E-8</v>
          </cell>
          <cell r="F546">
            <v>1.25504812827846E-5</v>
          </cell>
          <cell r="G546">
            <v>1.5057406214224999E-7</v>
          </cell>
          <cell r="H546">
            <v>1.6129821967153099E-5</v>
          </cell>
          <cell r="I546">
            <v>1.2346132989912E-6</v>
          </cell>
          <cell r="J546">
            <v>4.7983787620393498E-5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2.7189129728600001E-8</v>
          </cell>
          <cell r="E547">
            <v>-1.9910059892290158E-7</v>
          </cell>
          <cell r="F547">
            <v>1.2568111065290297E-5</v>
          </cell>
          <cell r="G547">
            <v>1.2702685339565399E-5</v>
          </cell>
          <cell r="H547">
            <v>2.8773524196430143E-5</v>
          </cell>
          <cell r="I547">
            <v>2.9987084150017408E-5</v>
          </cell>
          <cell r="J547">
            <v>7.8120621142723306E-5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0.40801465296384376</v>
          </cell>
          <cell r="E548">
            <v>0.47088027001813598</v>
          </cell>
          <cell r="F548">
            <v>9.6610246823807394E-3</v>
          </cell>
          <cell r="G548">
            <v>1.2593466162547506E-2</v>
          </cell>
          <cell r="H548">
            <v>1.3628439204502565E-2</v>
          </cell>
          <cell r="I548">
            <v>1.4402704463682412E-2</v>
          </cell>
          <cell r="J548">
            <v>1.3764498338466919E-2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0.40801465296384376</v>
          </cell>
          <cell r="E549">
            <v>0.47088027001813598</v>
          </cell>
          <cell r="F549">
            <v>9.6610246823807394E-3</v>
          </cell>
          <cell r="G549">
            <v>1.2593466162547506E-2</v>
          </cell>
          <cell r="H549">
            <v>1.3628439204502565E-2</v>
          </cell>
          <cell r="I549">
            <v>1.4402704463682412E-2</v>
          </cell>
          <cell r="J549">
            <v>1.3764498338466919E-2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2.04784622861896E-5</v>
          </cell>
          <cell r="E550">
            <v>9.1203391144008099E-3</v>
          </cell>
          <cell r="F550">
            <v>2.2937893231925399E-7</v>
          </cell>
          <cell r="G550">
            <v>4.0854881452848802E-7</v>
          </cell>
          <cell r="H550">
            <v>1.70558244156615E-6</v>
          </cell>
          <cell r="I550">
            <v>2.15847117498975E-3</v>
          </cell>
          <cell r="J550">
            <v>5.3929363247738095E-4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5.9275399879324495E-2</v>
          </cell>
          <cell r="E551">
            <v>6.8395677316225229E-2</v>
          </cell>
          <cell r="F551">
            <v>6.8393340292169175E-2</v>
          </cell>
          <cell r="G551">
            <v>6.83939435244178E-2</v>
          </cell>
          <cell r="H551">
            <v>1.9912722383259515E-2</v>
          </cell>
          <cell r="I551">
            <v>2.1600398575268723E-3</v>
          </cell>
          <cell r="J551">
            <v>2.1062624054765766E-3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1.0078657820408E-6</v>
          </cell>
          <cell r="H552">
            <v>0.92547977837147399</v>
          </cell>
          <cell r="I552">
            <v>0.55356322211556697</v>
          </cell>
          <cell r="J552">
            <v>0.64031337864329896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1.0078657820408E-6</v>
          </cell>
          <cell r="H553">
            <v>0.9254800040186183</v>
          </cell>
          <cell r="I553">
            <v>1.4790422015386064</v>
          </cell>
          <cell r="J553">
            <v>1.4335244604208044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0.36209165156828643</v>
          </cell>
          <cell r="F554">
            <v>0.36209157730587505</v>
          </cell>
          <cell r="G554">
            <v>0.96312728301758987</v>
          </cell>
          <cell r="H554">
            <v>0.97000126184951607</v>
          </cell>
          <cell r="I554">
            <v>0.97000549397696345</v>
          </cell>
          <cell r="J554">
            <v>0.97001050482534912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1.7213296226103687</v>
          </cell>
          <cell r="F555">
            <v>1.7213292695779612</v>
          </cell>
          <cell r="G555">
            <v>4.5785632323250782</v>
          </cell>
          <cell r="H555">
            <v>4.6112411008628991</v>
          </cell>
          <cell r="I555">
            <v>4.6112612197645912</v>
          </cell>
          <cell r="J555">
            <v>4.6112850405893004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2.0834212741786566</v>
          </cell>
          <cell r="F556">
            <v>2.0834208468838353</v>
          </cell>
          <cell r="G556">
            <v>5.5416905153426592</v>
          </cell>
          <cell r="H556">
            <v>5.581242362712417</v>
          </cell>
          <cell r="I556">
            <v>5.5812667137415541</v>
          </cell>
          <cell r="J556">
            <v>5.5812955454146485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0.113310033173687</v>
          </cell>
          <cell r="F557">
            <v>1.25329276021105E-6</v>
          </cell>
          <cell r="G557">
            <v>0.18806794688884701</v>
          </cell>
          <cell r="H557">
            <v>5.7411957240882203E-2</v>
          </cell>
          <cell r="I557">
            <v>0.117674928140147</v>
          </cell>
          <cell r="J557">
            <v>0.19385223444126901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0.113310033173687</v>
          </cell>
          <cell r="F558">
            <v>0.113311286466447</v>
          </cell>
          <cell r="G558">
            <v>0.30137923335529399</v>
          </cell>
          <cell r="H558">
            <v>0.30353485026553301</v>
          </cell>
          <cell r="I558">
            <v>0.30353494037680501</v>
          </cell>
          <cell r="J558">
            <v>0.30353782554829001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1.8495551870625101E-5</v>
          </cell>
          <cell r="H559">
            <v>2.76625088476384E-5</v>
          </cell>
          <cell r="I559">
            <v>1.8271887577836202E-5</v>
          </cell>
          <cell r="J559">
            <v>8.6582884912910308E-6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1.8495551870625101E-5</v>
          </cell>
          <cell r="H560">
            <v>3.4539963248968303E-5</v>
          </cell>
          <cell r="I560">
            <v>2.8364046689075801E-5</v>
          </cell>
          <cell r="J560">
            <v>1.4280513701565002E-5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6.7500317799216468E-5</v>
          </cell>
          <cell r="E561">
            <v>1.3737233783235017E-4</v>
          </cell>
          <cell r="F561">
            <v>2.1513469881906115E-5</v>
          </cell>
          <cell r="G561">
            <v>1.5608735177617626E-5</v>
          </cell>
          <cell r="H561">
            <v>3.1087148004055581E-5</v>
          </cell>
          <cell r="I561">
            <v>1.3015136293238492E-5</v>
          </cell>
          <cell r="J561">
            <v>7.5945886001770327E-6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6.7500317799216468E-5</v>
          </cell>
          <cell r="E562">
            <v>1.3737233783235017E-4</v>
          </cell>
          <cell r="F562">
            <v>2.1003606294644171E-5</v>
          </cell>
          <cell r="G562">
            <v>1.3378757855860776E-5</v>
          </cell>
          <cell r="H562">
            <v>3.5474541384972632E-5</v>
          </cell>
          <cell r="I562">
            <v>1.4322231903818844E-5</v>
          </cell>
          <cell r="J562">
            <v>7.8649204935742803E-6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1.42070527863511E-3</v>
          </cell>
          <cell r="E563">
            <v>1.14628428615775E-5</v>
          </cell>
          <cell r="F563">
            <v>3.2354164936101597E-2</v>
          </cell>
          <cell r="G563">
            <v>2.1918035018333799E-2</v>
          </cell>
          <cell r="H563">
            <v>1.60582782599752E-2</v>
          </cell>
          <cell r="I563">
            <v>5.1708234007890298E-2</v>
          </cell>
          <cell r="J563">
            <v>4.4268767632606197E-2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1.42070527863511E-3</v>
          </cell>
          <cell r="E564">
            <v>1.4580786066130088E-5</v>
          </cell>
          <cell r="F564">
            <v>3.2363296778406624E-2</v>
          </cell>
          <cell r="G564">
            <v>5.4266858939143889E-2</v>
          </cell>
          <cell r="H564">
            <v>7.0257917189952737E-2</v>
          </cell>
          <cell r="I564">
            <v>8.8356797308418514E-2</v>
          </cell>
          <cell r="J564">
            <v>8.851773688050063E-2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3.5555531581477019E-4</v>
          </cell>
          <cell r="H565">
            <v>0.87994642938588619</v>
          </cell>
          <cell r="I565">
            <v>0.88002035395154743</v>
          </cell>
          <cell r="J565">
            <v>0.88002271425193879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5.4962047514431171E-4</v>
          </cell>
          <cell r="H566">
            <v>1.360228783283236</v>
          </cell>
          <cell r="I566">
            <v>1.360343056514705</v>
          </cell>
          <cell r="J566">
            <v>1.3603467050874136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9.0517579095908201E-4</v>
          </cell>
          <cell r="H567">
            <v>2.2401752126691235</v>
          </cell>
          <cell r="I567">
            <v>2.2403634104662529</v>
          </cell>
          <cell r="J567">
            <v>2.2403694193393515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4.8961506875082598E-5</v>
          </cell>
          <cell r="H568">
            <v>0.121787199263412</v>
          </cell>
          <cell r="I568">
            <v>2.6658998400565599E-5</v>
          </cell>
          <cell r="J568">
            <v>7.0321688319148506E-2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4.8961506875082598E-5</v>
          </cell>
          <cell r="H569">
            <v>0.121836160770287</v>
          </cell>
          <cell r="I569">
            <v>0.12184729830070801</v>
          </cell>
          <cell r="J569">
            <v>0.121856369538515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1.5275882082834301E-2</v>
          </cell>
          <cell r="E570">
            <v>1.127676763389144</v>
          </cell>
          <cell r="F570">
            <v>0.6952244288172007</v>
          </cell>
          <cell r="G570">
            <v>1.9392050318311029</v>
          </cell>
          <cell r="H570">
            <v>3.4901044899420572</v>
          </cell>
          <cell r="I570">
            <v>4.0146084250987935</v>
          </cell>
          <cell r="J570">
            <v>6.4142317955681998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1.5275882082834301E-2</v>
          </cell>
          <cell r="E571">
            <v>1.127676763389144</v>
          </cell>
          <cell r="F571">
            <v>0.6952244288172007</v>
          </cell>
          <cell r="G571">
            <v>1.9392050318311029</v>
          </cell>
          <cell r="H571">
            <v>3.4901044899420572</v>
          </cell>
          <cell r="I571">
            <v>4.0146084250987935</v>
          </cell>
          <cell r="J571">
            <v>6.4142317955681998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4.5549732354440597E-2</v>
          </cell>
          <cell r="E572">
            <v>4.5549733535158399E-2</v>
          </cell>
          <cell r="F572">
            <v>1.94972797675056E-7</v>
          </cell>
          <cell r="G572">
            <v>6.5621992489505898E-2</v>
          </cell>
          <cell r="H572">
            <v>0.12525616033010101</v>
          </cell>
          <cell r="I572">
            <v>4.2369117565323099E-2</v>
          </cell>
          <cell r="J572">
            <v>0.235773556702776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4.5549732354440597E-2</v>
          </cell>
          <cell r="E573">
            <v>9.1099465889598996E-2</v>
          </cell>
          <cell r="F573">
            <v>9.109885226902141E-2</v>
          </cell>
          <cell r="G573">
            <v>0.15672113705844226</v>
          </cell>
          <cell r="H573">
            <v>0.28197738948639489</v>
          </cell>
          <cell r="I573">
            <v>0.32434659243645964</v>
          </cell>
          <cell r="J573">
            <v>0.5181965977552534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1.9606102953056471E-4</v>
          </cell>
          <cell r="H574">
            <v>3.6346313674593643E-2</v>
          </cell>
          <cell r="I574">
            <v>1.3325266239895619</v>
          </cell>
          <cell r="J574">
            <v>1.8469362442234378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3.890942349775643E-4</v>
          </cell>
          <cell r="H575">
            <v>7.2131321289761616E-2</v>
          </cell>
          <cell r="I575">
            <v>2.6444746750022938</v>
          </cell>
          <cell r="J575">
            <v>3.6653497470614127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5.8515526450812966E-4</v>
          </cell>
          <cell r="H576">
            <v>0.10847763496435531</v>
          </cell>
          <cell r="I576">
            <v>3.9770012989918557</v>
          </cell>
          <cell r="J576">
            <v>5.5122859912848536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3.1481337770030497E-5</v>
          </cell>
          <cell r="H577">
            <v>5.8691039267192904E-3</v>
          </cell>
          <cell r="I577">
            <v>0.210398893033477</v>
          </cell>
          <cell r="J577">
            <v>0.14465136691216199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3.1481337770030497E-5</v>
          </cell>
          <cell r="H578">
            <v>5.9005852644893201E-3</v>
          </cell>
          <cell r="I578">
            <v>0.216289498282903</v>
          </cell>
          <cell r="J578">
            <v>0.29982749654208102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4.8801944560320268E-4</v>
          </cell>
          <cell r="H579">
            <v>1.0882152475258733E-3</v>
          </cell>
          <cell r="I579">
            <v>9.4820565660665092E-4</v>
          </cell>
          <cell r="J579">
            <v>1.1039502990212121E-3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4.6478042438400264E-4</v>
          </cell>
          <cell r="H580">
            <v>1.01229325351244E-3</v>
          </cell>
          <cell r="I580">
            <v>8.6200514236968234E-4</v>
          </cell>
          <cell r="J580">
            <v>9.59956781757575E-4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4.1615914041334897E-5</v>
          </cell>
          <cell r="H581">
            <v>3.1999378602618999E-5</v>
          </cell>
          <cell r="I581">
            <v>1.58127468537421E-6</v>
          </cell>
          <cell r="J581">
            <v>1.6814286537271E-6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4.1615914041334897E-5</v>
          </cell>
          <cell r="H582">
            <v>7.3500879922431303E-5</v>
          </cell>
          <cell r="I582">
            <v>7.4724561080590244E-5</v>
          </cell>
          <cell r="J582">
            <v>6.1627081324400256E-5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4.279988315885884</v>
          </cell>
          <cell r="E583">
            <v>4.4886704607702459</v>
          </cell>
          <cell r="F583">
            <v>0.78083622435823585</v>
          </cell>
          <cell r="G583">
            <v>0.18378875786527749</v>
          </cell>
          <cell r="H583">
            <v>1.2202360595482464E-2</v>
          </cell>
          <cell r="I583">
            <v>2.3155146327036415E-3</v>
          </cell>
          <cell r="J583">
            <v>7.8883182018031324E-4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4.5052508588272469</v>
          </cell>
          <cell r="E584">
            <v>4.7249162744949924</v>
          </cell>
          <cell r="F584">
            <v>0.85115771738338664</v>
          </cell>
          <cell r="G584">
            <v>0.20034062809254133</v>
          </cell>
          <cell r="H584">
            <v>1.3282850267592496E-2</v>
          </cell>
          <cell r="I584">
            <v>2.520547882350612E-3</v>
          </cell>
          <cell r="J584">
            <v>8.4644686674517958E-4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8.0710960727798794E-8</v>
          </cell>
          <cell r="E585">
            <v>1.6886695442002501E-2</v>
          </cell>
          <cell r="F585">
            <v>1.5387864007531001E-7</v>
          </cell>
          <cell r="G585">
            <v>3.2664028416397E-7</v>
          </cell>
          <cell r="H585">
            <v>3.37075713021583E-6</v>
          </cell>
          <cell r="I585">
            <v>1.8669226546255799E-4</v>
          </cell>
          <cell r="J585">
            <v>1.85976868942326E-7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0.34576938058729373</v>
          </cell>
          <cell r="E586">
            <v>0.36265596066830474</v>
          </cell>
          <cell r="F586">
            <v>0.11443356366570229</v>
          </cell>
          <cell r="G586">
            <v>2.6281690202704378E-2</v>
          </cell>
          <cell r="H586">
            <v>1.8032580471702281E-3</v>
          </cell>
          <cell r="I586">
            <v>1.8982013050929447E-4</v>
          </cell>
          <cell r="J586">
            <v>6.3638822331681309E-5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6.6447081587294781</v>
          </cell>
          <cell r="E587">
            <v>6.9687096137487332</v>
          </cell>
          <cell r="F587">
            <v>2.8134260952924213</v>
          </cell>
          <cell r="G587">
            <v>1.9810576159502573</v>
          </cell>
          <cell r="H587">
            <v>1.8369891381339321</v>
          </cell>
          <cell r="I587">
            <v>1.7153978456596153</v>
          </cell>
          <cell r="J587">
            <v>1.5591590229141057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8.4110229857335206</v>
          </cell>
          <cell r="E588">
            <v>8.7988757749352704</v>
          </cell>
          <cell r="F588">
            <v>6.041978286803384</v>
          </cell>
          <cell r="G588">
            <v>4.0835549243926144</v>
          </cell>
          <cell r="H588">
            <v>3.7030997281876257</v>
          </cell>
          <cell r="I588">
            <v>3.4001512406593828</v>
          </cell>
          <cell r="J588">
            <v>3.004592918892103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9.9577874955980906E-6</v>
          </cell>
          <cell r="E589">
            <v>3.4223646651582201E-2</v>
          </cell>
          <cell r="F589">
            <v>3.4808742104149202E-7</v>
          </cell>
          <cell r="G589">
            <v>6.4008086559418902E-7</v>
          </cell>
          <cell r="H589">
            <v>6.1732106695334299E-2</v>
          </cell>
          <cell r="I589">
            <v>6.4738690057130996E-2</v>
          </cell>
          <cell r="J589">
            <v>5.0405164700626198E-2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0.43757854656117257</v>
          </cell>
          <cell r="E590">
            <v>0.47180187202433288</v>
          </cell>
          <cell r="F590">
            <v>0.3471626233182678</v>
          </cell>
          <cell r="G590">
            <v>0.24231395850045639</v>
          </cell>
          <cell r="H590">
            <v>0.13322756007169251</v>
          </cell>
          <cell r="I590">
            <v>0.12647034493283618</v>
          </cell>
          <cell r="J590">
            <v>0.12349973156871516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6.5822749045635662</v>
          </cell>
          <cell r="E591">
            <v>7.0678495432055044</v>
          </cell>
          <cell r="F591">
            <v>7.0905083952734946</v>
          </cell>
          <cell r="G591">
            <v>7.1282759080729221</v>
          </cell>
          <cell r="H591">
            <v>7.1660412722426106</v>
          </cell>
          <cell r="I591">
            <v>7.2037351781102998</v>
          </cell>
          <cell r="J591">
            <v>8.1946759732422727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7.1200042364737479</v>
          </cell>
          <cell r="E592">
            <v>7.6289071097869039</v>
          </cell>
          <cell r="F592">
            <v>7.6289069305868145</v>
          </cell>
          <cell r="G592">
            <v>7.6289095875995878</v>
          </cell>
          <cell r="H592">
            <v>7.628909929193485</v>
          </cell>
          <cell r="I592">
            <v>7.6288345920799978</v>
          </cell>
          <cell r="J592">
            <v>8.6259747086760701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6.5822749045635662</v>
          </cell>
          <cell r="E593">
            <v>7.0678495432055044</v>
          </cell>
          <cell r="F593">
            <v>7.0905083952734946</v>
          </cell>
          <cell r="G593">
            <v>7.1282759080729221</v>
          </cell>
          <cell r="H593">
            <v>7.1660412722426106</v>
          </cell>
          <cell r="I593">
            <v>7.2037351781102998</v>
          </cell>
          <cell r="J593">
            <v>8.1946759732422727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4.6924293721908601E-2</v>
          </cell>
          <cell r="F594">
            <v>0.17312212329398299</v>
          </cell>
          <cell r="G594">
            <v>8.6413279093130402E-2</v>
          </cell>
          <cell r="H594">
            <v>0.28444547478369497</v>
          </cell>
          <cell r="I594">
            <v>0.19574713130896301</v>
          </cell>
          <cell r="J594">
            <v>0.46761468924101501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0.54062360448861868</v>
          </cell>
          <cell r="F595">
            <v>0.68446237913348906</v>
          </cell>
          <cell r="G595">
            <v>0.6856422469620751</v>
          </cell>
          <cell r="H595">
            <v>0.54639985964446902</v>
          </cell>
          <cell r="I595">
            <v>0.49743667085089138</v>
          </cell>
          <cell r="J595">
            <v>0.68859916644755315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1.4088330826933866E-2</v>
          </cell>
          <cell r="E596">
            <v>0.82069632006824189</v>
          </cell>
          <cell r="F596">
            <v>0.48508796867470305</v>
          </cell>
          <cell r="G596">
            <v>0.82068780607210656</v>
          </cell>
          <cell r="H596">
            <v>1.4193065698297425</v>
          </cell>
          <cell r="I596">
            <v>2.9190063862186344</v>
          </cell>
          <cell r="J596">
            <v>4.6680645576687025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1.4088330826933866E-2</v>
          </cell>
          <cell r="E597">
            <v>0.82069632006824189</v>
          </cell>
          <cell r="F597">
            <v>0.48508796867470305</v>
          </cell>
          <cell r="G597">
            <v>0.82068780607210656</v>
          </cell>
          <cell r="H597">
            <v>1.4193065698297425</v>
          </cell>
          <cell r="I597">
            <v>2.9190063862186344</v>
          </cell>
          <cell r="J597">
            <v>4.6680645576687025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3.3149608495070801E-2</v>
          </cell>
          <cell r="E598">
            <v>3.3149610595976403E-2</v>
          </cell>
          <cell r="F598">
            <v>1.9443520481767E-7</v>
          </cell>
          <cell r="G598">
            <v>5.8170686783990599E-5</v>
          </cell>
          <cell r="H598">
            <v>4.83249193356831E-2</v>
          </cell>
          <cell r="I598">
            <v>0.12115305406865901</v>
          </cell>
          <cell r="J598">
            <v>0.17180266499997901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3.3149608495070801E-2</v>
          </cell>
          <cell r="E599">
            <v>6.6299219091047204E-2</v>
          </cell>
          <cell r="F599">
            <v>6.6298613055517042E-2</v>
          </cell>
          <cell r="G599">
            <v>6.6357074366191121E-2</v>
          </cell>
          <cell r="H599">
            <v>0.11468208441411283</v>
          </cell>
          <cell r="I599">
            <v>0.23583522208004309</v>
          </cell>
          <cell r="J599">
            <v>0.37712733479948579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1.0585146537580744E-4</v>
          </cell>
          <cell r="I600">
            <v>1.0646942080372743E-4</v>
          </cell>
          <cell r="J600">
            <v>1.0605192153343286E-4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1.1375368409831566E-3</v>
          </cell>
          <cell r="I601">
            <v>1.1441777227399559E-3</v>
          </cell>
          <cell r="J601">
            <v>1.13969105078546E-3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1.2433883063589636E-3</v>
          </cell>
          <cell r="I602">
            <v>1.2506471435436838E-3</v>
          </cell>
          <cell r="J602">
            <v>1.2457429723188944E-3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6.6415976573148405E-5</v>
          </cell>
          <cell r="I603">
            <v>4.9002260895558702E-7</v>
          </cell>
          <cell r="J603">
            <v>3.8770969293136901E-5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6.6415976573148405E-5</v>
          </cell>
          <cell r="I604">
            <v>6.6905999182103996E-5</v>
          </cell>
          <cell r="J604">
            <v>6.7220197982102497E-5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0.66547346513597161</v>
          </cell>
          <cell r="E605">
            <v>8.8423395291248361E-2</v>
          </cell>
          <cell r="F605">
            <v>0.53871267530947398</v>
          </cell>
          <cell r="G605">
            <v>0.66329484525356741</v>
          </cell>
          <cell r="H605">
            <v>0.15027015964665325</v>
          </cell>
          <cell r="I605">
            <v>0.64812986380529458</v>
          </cell>
          <cell r="J605">
            <v>0.6624744388201228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4.4971143341362195E-3</v>
          </cell>
          <cell r="E606">
            <v>2.4195141551723674E-3</v>
          </cell>
          <cell r="F606">
            <v>3.2789705331597138E-3</v>
          </cell>
          <cell r="G606">
            <v>6.6778495964917549E-3</v>
          </cell>
          <cell r="H606">
            <v>3.5259492943700657E-3</v>
          </cell>
          <cell r="I606">
            <v>2.1845369663823618E-2</v>
          </cell>
          <cell r="J606">
            <v>7.5001122881034063E-3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0.66997057947010752</v>
          </cell>
          <cell r="E607">
            <v>9.0842909446420594E-2</v>
          </cell>
          <cell r="F607">
            <v>0.541985599540868</v>
          </cell>
          <cell r="G607">
            <v>0.66997269485005906</v>
          </cell>
          <cell r="H607">
            <v>0.15379610894102327</v>
          </cell>
          <cell r="I607">
            <v>0.66997523346911858</v>
          </cell>
          <cell r="J607">
            <v>0.66997455110822601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2.394045354647949</v>
          </cell>
          <cell r="E608">
            <v>0.5904108361158471</v>
          </cell>
          <cell r="F608">
            <v>0.5155054574093475</v>
          </cell>
          <cell r="G608">
            <v>0.29354365870835797</v>
          </cell>
          <cell r="H608">
            <v>0.25361784473321319</v>
          </cell>
          <cell r="I608">
            <v>0.21486397303908414</v>
          </cell>
          <cell r="J608">
            <v>0.15867115967785622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2.623611347559395</v>
          </cell>
          <cell r="E609">
            <v>0.64525774438890438</v>
          </cell>
          <cell r="F609">
            <v>1.0863534867627731</v>
          </cell>
          <cell r="G609">
            <v>0.59218686148587907</v>
          </cell>
          <cell r="H609">
            <v>0.50613420137175003</v>
          </cell>
          <cell r="I609">
            <v>0.41867649789593464</v>
          </cell>
          <cell r="J609">
            <v>0.29563573962493173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1.9675363496845299E-6</v>
          </cell>
          <cell r="E610">
            <v>1.9096496512151401E-6</v>
          </cell>
          <cell r="F610">
            <v>1.55323804249903E-6</v>
          </cell>
          <cell r="G610">
            <v>2.19761184215267E-6</v>
          </cell>
          <cell r="H610">
            <v>1.3341622030663899E-2</v>
          </cell>
          <cell r="I610">
            <v>9.9500584528732401E-3</v>
          </cell>
          <cell r="J610">
            <v>3.0788989475262702E-3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0.18499001588779168</v>
          </cell>
          <cell r="E611">
            <v>7.3338062220646899E-2</v>
          </cell>
          <cell r="F611">
            <v>7.0539910493375421E-2</v>
          </cell>
          <cell r="G611">
            <v>3.7940331551139544E-2</v>
          </cell>
          <cell r="H611">
            <v>2.3179522995066197E-2</v>
          </cell>
          <cell r="I611">
            <v>2.3291024084324118E-2</v>
          </cell>
          <cell r="J611">
            <v>1.5941114536137047E-2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1.6309958969468477E-2</v>
          </cell>
          <cell r="E612">
            <v>1.3357690928300172</v>
          </cell>
          <cell r="F612">
            <v>0.8431665953229881</v>
          </cell>
          <cell r="G612">
            <v>1.3350404118260102</v>
          </cell>
          <cell r="H612">
            <v>1.3354931849756322</v>
          </cell>
          <cell r="I612">
            <v>1.3355469544227456</v>
          </cell>
          <cell r="J612">
            <v>1.1314477160740211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1.6309958969468477E-2</v>
          </cell>
          <cell r="E613">
            <v>1.3357690928300172</v>
          </cell>
          <cell r="F613">
            <v>0.8431665953229881</v>
          </cell>
          <cell r="G613">
            <v>1.3350404118260102</v>
          </cell>
          <cell r="H613">
            <v>1.3354931849756322</v>
          </cell>
          <cell r="I613">
            <v>1.3355469544227456</v>
          </cell>
          <cell r="J613">
            <v>1.1314477160740211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5.3156571607798499E-2</v>
          </cell>
          <cell r="E614">
            <v>5.4754198183357403E-2</v>
          </cell>
          <cell r="F614">
            <v>4.5714953118422198E-8</v>
          </cell>
          <cell r="G614">
            <v>8.1775901131633898E-8</v>
          </cell>
          <cell r="H614">
            <v>8.6995395131707597E-8</v>
          </cell>
          <cell r="I614">
            <v>1.03811191514549E-7</v>
          </cell>
          <cell r="J614">
            <v>3.3097501903700699E-2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5.3156571607798499E-2</v>
          </cell>
          <cell r="E615">
            <v>0.10791076979115601</v>
          </cell>
          <cell r="F615">
            <v>0.10791000582765381</v>
          </cell>
          <cell r="G615">
            <v>0.10791038948059288</v>
          </cell>
          <cell r="H615">
            <v>0.10791057266507066</v>
          </cell>
          <cell r="I615">
            <v>0.10791076007905714</v>
          </cell>
          <cell r="J615">
            <v>9.1409461722143495E-2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1.8106189922807291E-4</v>
          </cell>
          <cell r="I616">
            <v>1.8338071866075633E-4</v>
          </cell>
          <cell r="J616">
            <v>1.8228743560662049E-4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8.8808625053906839E-4</v>
          </cell>
          <cell r="I617">
            <v>8.9945977343056907E-4</v>
          </cell>
          <cell r="J617">
            <v>8.9409735509482296E-4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1.0691481497671418E-3</v>
          </cell>
          <cell r="I618">
            <v>1.0828404920913248E-3</v>
          </cell>
          <cell r="J618">
            <v>1.0763847907014432E-3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5.7232764770628902E-5</v>
          </cell>
          <cell r="I619">
            <v>5.6928975044238898E-7</v>
          </cell>
          <cell r="J619">
            <v>3.3437413330699303E-5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5.7232764770628902E-5</v>
          </cell>
          <cell r="I620">
            <v>5.7802054521071299E-5</v>
          </cell>
          <cell r="J620">
            <v>5.8059719366964503E-5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D621">
            <v>0.688620462655399</v>
          </cell>
          <cell r="E621">
            <v>0.70880338931959674</v>
          </cell>
          <cell r="F621">
            <v>0.19362468896177701</v>
          </cell>
          <cell r="G621">
            <v>3.4702459606841526E-2</v>
          </cell>
          <cell r="H621">
            <v>1.3213635134338916E-3</v>
          </cell>
          <cell r="I621">
            <v>1.8351421168281219E-4</v>
          </cell>
          <cell r="J621">
            <v>9.7755704346307016E-5</v>
          </cell>
        </row>
        <row r="622">
          <cell r="A622" t="str">
            <v>RHES-SHSTG-ELC</v>
          </cell>
          <cell r="B622" t="str">
            <v>VAR_fout</v>
          </cell>
          <cell r="C622" t="str">
            <v>AUX_RHES-SHSTG-ELC_OUT</v>
          </cell>
          <cell r="D622">
            <v>0.68930908311805439</v>
          </cell>
          <cell r="E622">
            <v>0.70951219270891563</v>
          </cell>
          <cell r="F622">
            <v>0.19381831365073854</v>
          </cell>
          <cell r="G622">
            <v>3.4737162066448356E-2</v>
          </cell>
          <cell r="H622">
            <v>1.3226848769473246E-3</v>
          </cell>
          <cell r="I622">
            <v>1.8369772589449496E-4</v>
          </cell>
          <cell r="J622">
            <v>9.7853460050653348E-5</v>
          </cell>
        </row>
        <row r="623">
          <cell r="A623" t="str">
            <v>RHES-SHSTG-ELC</v>
          </cell>
          <cell r="B623" t="str">
            <v>VAR_fin</v>
          </cell>
          <cell r="C623" t="str">
            <v>RHES-SHAELCB</v>
          </cell>
          <cell r="D623">
            <v>0.688632168120629</v>
          </cell>
          <cell r="E623">
            <v>0.70880397220268521</v>
          </cell>
          <cell r="F623">
            <v>0.19362414561336116</v>
          </cell>
          <cell r="G623">
            <v>3.4702315954654728E-2</v>
          </cell>
          <cell r="H623">
            <v>1.321677709378016E-3</v>
          </cell>
          <cell r="I623">
            <v>1.8396980494910097E-4</v>
          </cell>
          <cell r="J623">
            <v>9.836311256944623E-5</v>
          </cell>
        </row>
        <row r="624">
          <cell r="A624" t="str">
            <v>RHES-SHSTG-ELC</v>
          </cell>
          <cell r="B624" t="str">
            <v>VAR_ncap</v>
          </cell>
          <cell r="C624" t="str">
            <v>-</v>
          </cell>
          <cell r="D624">
            <v>6.4002827216484606E-2</v>
          </cell>
          <cell r="E624">
            <v>4.0611296931134697E-5</v>
          </cell>
          <cell r="F624">
            <v>1.06914484100163E-5</v>
          </cell>
          <cell r="G624">
            <v>1.49187702643148E-5</v>
          </cell>
          <cell r="H624">
            <v>2.9055354545577002E-5</v>
          </cell>
          <cell r="I624">
            <v>3.5222727204740899E-5</v>
          </cell>
          <cell r="J624">
            <v>9.5894822621237097E-6</v>
          </cell>
        </row>
        <row r="625">
          <cell r="A625" t="str">
            <v>RHES-SHSTG-ELC</v>
          </cell>
          <cell r="B625" t="str">
            <v>VAR_cap</v>
          </cell>
          <cell r="C625" t="str">
            <v>-</v>
          </cell>
          <cell r="D625">
            <v>6.4002827216484606E-2</v>
          </cell>
          <cell r="E625">
            <v>6.3997826954380804E-2</v>
          </cell>
          <cell r="F625">
            <v>2.0194699459940901E-2</v>
          </cell>
          <cell r="G625">
            <v>4.6386511865239982E-3</v>
          </cell>
          <cell r="H625">
            <v>3.1895829693059929E-4</v>
          </cell>
          <cell r="I625">
            <v>4.95237819238651E-5</v>
          </cell>
          <cell r="J625">
            <v>2.40402113100419E-5</v>
          </cell>
        </row>
        <row r="626">
          <cell r="A626" t="str">
            <v>RHES-SHCONBR4</v>
          </cell>
          <cell r="B626" t="str">
            <v>VAR_fout</v>
          </cell>
          <cell r="C626" t="str">
            <v>RHES-SHCON</v>
          </cell>
          <cell r="E626">
            <v>0.42671712829794278</v>
          </cell>
          <cell r="F626">
            <v>0.23440332215049317</v>
          </cell>
          <cell r="G626">
            <v>0.4260447143066014</v>
          </cell>
          <cell r="H626">
            <v>0.42645044173618257</v>
          </cell>
          <cell r="I626">
            <v>0.42650776713466382</v>
          </cell>
          <cell r="J626">
            <v>0.24663982568831178</v>
          </cell>
        </row>
        <row r="627">
          <cell r="A627" t="str">
            <v>RHES-SHCONBR4</v>
          </cell>
          <cell r="B627" t="str">
            <v>VAR_fin</v>
          </cell>
          <cell r="C627" t="str">
            <v>CON</v>
          </cell>
          <cell r="E627">
            <v>0.42671712829794278</v>
          </cell>
          <cell r="F627">
            <v>0.23440332215049317</v>
          </cell>
          <cell r="G627">
            <v>0.4260447143066014</v>
          </cell>
          <cell r="H627">
            <v>0.42645044173618257</v>
          </cell>
          <cell r="I627">
            <v>0.42650776713466382</v>
          </cell>
          <cell r="J627">
            <v>0.24663982568831178</v>
          </cell>
        </row>
        <row r="628">
          <cell r="A628" t="str">
            <v>RHES-SHCONBR4</v>
          </cell>
          <cell r="B628" t="str">
            <v>VAR_ncap</v>
          </cell>
          <cell r="C628" t="str">
            <v>-</v>
          </cell>
          <cell r="E628">
            <v>3.44706737793792E-2</v>
          </cell>
          <cell r="F628">
            <v>3.5014666809174597E-8</v>
          </cell>
          <cell r="G628">
            <v>5.3293583313596502E-8</v>
          </cell>
          <cell r="H628">
            <v>5.5238528234843899E-8</v>
          </cell>
          <cell r="I628">
            <v>6.83064467468876E-8</v>
          </cell>
          <cell r="J628">
            <v>2.4606518878116898E-7</v>
          </cell>
        </row>
        <row r="629">
          <cell r="A629" t="str">
            <v>RHES-SHCONBR4</v>
          </cell>
          <cell r="B629" t="str">
            <v>VAR_cap</v>
          </cell>
          <cell r="C629" t="str">
            <v>-</v>
          </cell>
          <cell r="E629">
            <v>3.44706737793792E-2</v>
          </cell>
          <cell r="F629">
            <v>3.4470395297832392E-2</v>
          </cell>
          <cell r="G629">
            <v>3.4470413102605145E-2</v>
          </cell>
          <cell r="H629">
            <v>3.4470555168973009E-2</v>
          </cell>
          <cell r="I629">
            <v>3.4470634818025231E-2</v>
          </cell>
          <cell r="J629">
            <v>1.9927898721545254E-2</v>
          </cell>
        </row>
        <row r="630">
          <cell r="A630" t="str">
            <v>ITOT-SWHCONBR6</v>
          </cell>
          <cell r="B630" t="str">
            <v>VAR_fout</v>
          </cell>
          <cell r="C630" t="str">
            <v>ITOT-SWHC</v>
          </cell>
          <cell r="I630">
            <v>4.3570480119374685E-4</v>
          </cell>
          <cell r="J630">
            <v>4.3207759276048301E-4</v>
          </cell>
        </row>
        <row r="631">
          <cell r="A631" t="str">
            <v>ITOT-SWHCONBR6</v>
          </cell>
          <cell r="B631" t="str">
            <v>VAR_fin</v>
          </cell>
          <cell r="C631" t="str">
            <v>CON</v>
          </cell>
          <cell r="I631">
            <v>4.3570480119374685E-4</v>
          </cell>
          <cell r="J631">
            <v>4.3207759276048301E-4</v>
          </cell>
        </row>
        <row r="632">
          <cell r="A632" t="str">
            <v>ITOT-SWHCONBR6</v>
          </cell>
          <cell r="B632" t="str">
            <v>VAR_ncap</v>
          </cell>
          <cell r="C632" t="str">
            <v>-</v>
          </cell>
          <cell r="I632">
            <v>2.2614512650471299E-5</v>
          </cell>
          <cell r="J632">
            <v>6.5140780565567201E-6</v>
          </cell>
        </row>
        <row r="633">
          <cell r="A633" t="str">
            <v>ITOT-SWHCONBR6</v>
          </cell>
          <cell r="B633" t="str">
            <v>VAR_cap</v>
          </cell>
          <cell r="C633" t="str">
            <v>-</v>
          </cell>
          <cell r="I633">
            <v>2.2614512650471299E-5</v>
          </cell>
          <cell r="J633">
            <v>2.2926188013115598E-5</v>
          </cell>
        </row>
        <row r="634">
          <cell r="A634" t="str">
            <v>RHNM-SHNGAHP</v>
          </cell>
          <cell r="B634" t="str">
            <v>VAR_fout</v>
          </cell>
          <cell r="C634" t="str">
            <v>CO2_R</v>
          </cell>
          <cell r="F634">
            <v>7.8260237918359303</v>
          </cell>
          <cell r="G634">
            <v>16.719232636214301</v>
          </cell>
          <cell r="H634">
            <v>23.902433351985</v>
          </cell>
          <cell r="I634">
            <v>29.7572675048322</v>
          </cell>
          <cell r="J634">
            <v>33.338149068390599</v>
          </cell>
        </row>
        <row r="635">
          <cell r="A635" t="str">
            <v>RHNM-SHNGAHP</v>
          </cell>
          <cell r="B635" t="str">
            <v>VAR_fout</v>
          </cell>
          <cell r="C635" t="str">
            <v>RHNM-SHANGAH</v>
          </cell>
          <cell r="F635">
            <v>0.2680130964075893</v>
          </cell>
          <cell r="G635">
            <v>0.5915858583734005</v>
          </cell>
          <cell r="H635">
            <v>0.86060915084777867</v>
          </cell>
          <cell r="I635">
            <v>1.0893363435403465</v>
          </cell>
          <cell r="J635">
            <v>1.2545798577742364</v>
          </cell>
        </row>
        <row r="636">
          <cell r="A636" t="str">
            <v>RHNM-SHNGAHP</v>
          </cell>
          <cell r="B636" t="str">
            <v>VAR_fin</v>
          </cell>
          <cell r="C636" t="str">
            <v>RNGA</v>
          </cell>
          <cell r="F636">
            <v>0.13875928708928958</v>
          </cell>
          <cell r="G636">
            <v>0.2964402949683379</v>
          </cell>
          <cell r="H636">
            <v>0.42380200978696836</v>
          </cell>
          <cell r="I636">
            <v>0.52761112597220194</v>
          </cell>
          <cell r="J636">
            <v>0.59110193383671306</v>
          </cell>
        </row>
        <row r="637">
          <cell r="A637" t="str">
            <v>RHNM-SHNGAHP</v>
          </cell>
          <cell r="B637" t="str">
            <v>VAR_fin</v>
          </cell>
          <cell r="C637" t="str">
            <v>RHNMELCHPC</v>
          </cell>
          <cell r="F637">
            <v>0.2680130964075893</v>
          </cell>
          <cell r="G637">
            <v>0.5915858583734005</v>
          </cell>
          <cell r="H637">
            <v>0.86060915084777867</v>
          </cell>
          <cell r="I637">
            <v>1.0893363435403465</v>
          </cell>
          <cell r="J637">
            <v>1.2545798577742364</v>
          </cell>
        </row>
        <row r="638">
          <cell r="A638" t="str">
            <v>RHNM-SHNGAHP</v>
          </cell>
          <cell r="B638" t="str">
            <v>VAR_ncap</v>
          </cell>
          <cell r="C638" t="str">
            <v>-</v>
          </cell>
          <cell r="E638">
            <v>1.13609580685983E-6</v>
          </cell>
          <cell r="F638">
            <v>2.08627257704509E-2</v>
          </cell>
          <cell r="G638">
            <v>2.50856682499348E-2</v>
          </cell>
          <cell r="H638">
            <v>2.0912835755037499E-2</v>
          </cell>
          <cell r="I638">
            <v>4.28668279742946E-2</v>
          </cell>
          <cell r="J638">
            <v>5.7746448271088102E-2</v>
          </cell>
        </row>
        <row r="639">
          <cell r="A639" t="str">
            <v>RHNM-SHNGAHP</v>
          </cell>
          <cell r="B639" t="str">
            <v>VAR_cap</v>
          </cell>
          <cell r="C639" t="str">
            <v>-</v>
          </cell>
          <cell r="E639">
            <v>1.13609580685983E-6</v>
          </cell>
          <cell r="F639">
            <v>2.0863700001438258E-2</v>
          </cell>
          <cell r="G639">
            <v>4.5949314945594948E-2</v>
          </cell>
          <cell r="H639">
            <v>6.686118039030646E-2</v>
          </cell>
          <cell r="I639">
            <v>8.4607564845078836E-2</v>
          </cell>
          <cell r="J639">
            <v>9.7702147994460684E-2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E640">
            <v>8.9533876987281716E-4</v>
          </cell>
          <cell r="F640">
            <v>4.6455179469411228E-4</v>
          </cell>
          <cell r="G640">
            <v>6.4877213018129233E-4</v>
          </cell>
          <cell r="H640">
            <v>7.5585690391259197E-4</v>
          </cell>
          <cell r="I640">
            <v>7.7024014952482411E-4</v>
          </cell>
          <cell r="J640">
            <v>4.8670278904319161E-4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E641">
            <v>8.9533876987281716E-4</v>
          </cell>
          <cell r="F641">
            <v>4.6455179469411228E-4</v>
          </cell>
          <cell r="G641">
            <v>6.4877213018129233E-4</v>
          </cell>
          <cell r="H641">
            <v>7.5585690391259197E-4</v>
          </cell>
          <cell r="I641">
            <v>7.7024014952482411E-4</v>
          </cell>
          <cell r="J641">
            <v>4.8670278904319161E-4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  <cell r="E642">
            <v>6.9498619787622203E-5</v>
          </cell>
          <cell r="F642">
            <v>3.26565295374759E-8</v>
          </cell>
          <cell r="G642">
            <v>4.5800206760644103E-8</v>
          </cell>
          <cell r="H642">
            <v>4.4038791187336501E-8</v>
          </cell>
          <cell r="I642">
            <v>5.2238553037330597E-8</v>
          </cell>
          <cell r="J642">
            <v>1.02621253612633E-7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E643">
            <v>6.9498619787622203E-5</v>
          </cell>
          <cell r="F643">
            <v>6.9421290465315196E-5</v>
          </cell>
          <cell r="G643">
            <v>6.9401372100935752E-5</v>
          </cell>
          <cell r="H643">
            <v>6.9436772164776283E-5</v>
          </cell>
          <cell r="I643">
            <v>6.9478510086785881E-5</v>
          </cell>
          <cell r="J643">
            <v>4.0384092590367236E-5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F644">
            <v>1.5154567871615903E-3</v>
          </cell>
          <cell r="G644">
            <v>1.4992351871359821E-3</v>
          </cell>
          <cell r="H644">
            <v>1.7667075609210079E-3</v>
          </cell>
          <cell r="I644">
            <v>2.4290724432959199E-3</v>
          </cell>
          <cell r="J644">
            <v>2.4112238848747573E-3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F645">
            <v>1.5154567871615903E-3</v>
          </cell>
          <cell r="G645">
            <v>1.4992351871359821E-3</v>
          </cell>
          <cell r="H645">
            <v>1.7667075609210079E-3</v>
          </cell>
          <cell r="I645">
            <v>2.4290724432959199E-3</v>
          </cell>
          <cell r="J645">
            <v>2.4112238848747573E-3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E646">
            <v>3.34101369609708E-8</v>
          </cell>
          <cell r="F646">
            <v>1.10152150555668E-4</v>
          </cell>
          <cell r="G646">
            <v>1.2145023417992999E-7</v>
          </cell>
          <cell r="H646">
            <v>1.9213831105759901E-5</v>
          </cell>
          <cell r="I646">
            <v>4.7523922902981202E-5</v>
          </cell>
          <cell r="J646">
            <v>4.9110853236286701E-8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E647">
            <v>3.34101369609708E-8</v>
          </cell>
          <cell r="F647">
            <v>1.1016306628397682E-4</v>
          </cell>
          <cell r="G647">
            <v>1.1026396247889045E-4</v>
          </cell>
          <cell r="H647">
            <v>1.2943963616321493E-4</v>
          </cell>
          <cell r="I647">
            <v>1.7696709918685723E-4</v>
          </cell>
          <cell r="J647">
            <v>1.77093875788786E-4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D648">
            <v>2.7602364202533136E-3</v>
          </cell>
          <cell r="E648">
            <v>1.0806432232847107E-3</v>
          </cell>
          <cell r="F648">
            <v>1.1718721837398742E-3</v>
          </cell>
          <cell r="G648">
            <v>6.0397376828400136E-4</v>
          </cell>
          <cell r="H648">
            <v>1.1864399747022972E-3</v>
          </cell>
          <cell r="I648">
            <v>9.28718761458344E-4</v>
          </cell>
          <cell r="J648">
            <v>7.6440561968789519E-4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D649">
            <v>0.8597229893655951</v>
          </cell>
          <cell r="E649">
            <v>1.2865034869021506</v>
          </cell>
          <cell r="F649">
            <v>1.5127812669984095</v>
          </cell>
          <cell r="G649">
            <v>1.6345296513015402</v>
          </cell>
          <cell r="H649">
            <v>1.7172271525124994</v>
          </cell>
          <cell r="I649">
            <v>1.8053799784961873</v>
          </cell>
          <cell r="J649">
            <v>1.9941796336210726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D650">
            <v>0.86248322578584768</v>
          </cell>
          <cell r="E650">
            <v>1.2875827182177266</v>
          </cell>
          <cell r="F650">
            <v>1.5139531391821492</v>
          </cell>
          <cell r="G650">
            <v>1.635133625069823</v>
          </cell>
          <cell r="H650">
            <v>1.7184135924872033</v>
          </cell>
          <cell r="I650">
            <v>1.8063086972576456</v>
          </cell>
          <cell r="J650">
            <v>1.9949440392407594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0.40446439093470016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7.0529550457262585E-2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0.4749939413919626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2.5836676689722098E-2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2.5836676689722098E-2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E656">
            <v>2.3542786644461017E-4</v>
          </cell>
          <cell r="F656">
            <v>0.1324705022476409</v>
          </cell>
          <cell r="G656">
            <v>0.20337788152582062</v>
          </cell>
          <cell r="H656">
            <v>0.24834059572915854</v>
          </cell>
          <cell r="I656">
            <v>0.32218312894968149</v>
          </cell>
          <cell r="J656">
            <v>0.43402920433644243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E657">
            <v>2.3566329431105483E-4</v>
          </cell>
          <cell r="F657">
            <v>0.13260297274988858</v>
          </cell>
          <cell r="G657">
            <v>0.20358125940734639</v>
          </cell>
          <cell r="H657">
            <v>0.24858893632488765</v>
          </cell>
          <cell r="I657">
            <v>0.32250531207863103</v>
          </cell>
          <cell r="J657">
            <v>0.43446323354077843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E658">
            <v>2.358250818061312E-4</v>
          </cell>
          <cell r="F658">
            <v>0.13247031548465593</v>
          </cell>
          <cell r="G658">
            <v>0.20337933916469988</v>
          </cell>
          <cell r="H658">
            <v>0.24834203850778405</v>
          </cell>
          <cell r="I658">
            <v>0.32218608518015934</v>
          </cell>
          <cell r="J658">
            <v>0.43403253737545605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D659">
            <v>3.0853226071594798E-5</v>
          </cell>
          <cell r="E659">
            <v>4.7589657986122898E-5</v>
          </cell>
          <cell r="F659">
            <v>1.41694970546379E-2</v>
          </cell>
          <cell r="G659">
            <v>9.4262454452564599E-3</v>
          </cell>
          <cell r="H659">
            <v>6.9412904377356699E-3</v>
          </cell>
          <cell r="I659">
            <v>2.0225211260304399E-2</v>
          </cell>
          <cell r="J659">
            <v>2.65423759030139E-2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D660">
            <v>3.0853226071594798E-5</v>
          </cell>
          <cell r="E660">
            <v>6.917992755141756E-5</v>
          </cell>
          <cell r="F660">
            <v>1.4228187733802359E-2</v>
          </cell>
          <cell r="G660">
            <v>2.3640488970344344E-2</v>
          </cell>
          <cell r="H660">
            <v>3.0501667212084707E-2</v>
          </cell>
          <cell r="I660">
            <v>3.6046022015629016E-2</v>
          </cell>
          <cell r="J660">
            <v>4.41135352651469E-2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E661">
            <v>1.3407190338311656E-2</v>
          </cell>
          <cell r="F661">
            <v>7.8167581869325331E-5</v>
          </cell>
          <cell r="G661">
            <v>5.1004281619095027E-4</v>
          </cell>
          <cell r="H661">
            <v>5.1967513365254936E-4</v>
          </cell>
          <cell r="I661">
            <v>5.5277992661425504E-4</v>
          </cell>
          <cell r="J661">
            <v>9.7845441329580765E-4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E662">
            <v>1.3407190338311656E-2</v>
          </cell>
          <cell r="F662">
            <v>7.8167581869325331E-5</v>
          </cell>
          <cell r="G662">
            <v>5.1004281619095027E-4</v>
          </cell>
          <cell r="H662">
            <v>5.1967513365254936E-4</v>
          </cell>
          <cell r="I662">
            <v>5.5277992661425504E-4</v>
          </cell>
          <cell r="J662">
            <v>9.7845441329580765E-4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E663">
            <v>2.0558894822369301E-3</v>
          </cell>
          <cell r="F663">
            <v>6.2416746739356299E-6</v>
          </cell>
          <cell r="G663">
            <v>5.9260034915399902E-5</v>
          </cell>
          <cell r="H663">
            <v>2.16903103304087E-5</v>
          </cell>
          <cell r="I663">
            <v>1.3478101925729901E-4</v>
          </cell>
          <cell r="J663">
            <v>1.26444069072163E-4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E664">
            <v>2.0558894822369301E-3</v>
          </cell>
          <cell r="F664">
            <v>1.9634904575192721E-3</v>
          </cell>
          <cell r="G664">
            <v>1.9299303281375959E-3</v>
          </cell>
          <cell r="H664">
            <v>1.0425223210272362E-3</v>
          </cell>
          <cell r="I664">
            <v>1.9759702049478237E-4</v>
          </cell>
          <cell r="J664">
            <v>2.3320908819074652E-4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D665">
            <v>1.2957638399335922</v>
          </cell>
          <cell r="E665">
            <v>1.4868848480149643</v>
          </cell>
          <cell r="F665">
            <v>5.5254398546973768E-2</v>
          </cell>
          <cell r="G665">
            <v>7.2702833092945451E-2</v>
          </cell>
          <cell r="H665">
            <v>7.9246827984232021E-2</v>
          </cell>
          <cell r="I665">
            <v>8.4402399678814022E-2</v>
          </cell>
          <cell r="J665">
            <v>7.3267657897296071E-2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D666">
            <v>1.4397375999262125</v>
          </cell>
          <cell r="E666">
            <v>1.6520942755721808</v>
          </cell>
          <cell r="F666">
            <v>7.4826121030062198E-2</v>
          </cell>
          <cell r="G666">
            <v>9.7972109664732271E-2</v>
          </cell>
          <cell r="H666">
            <v>0.1064366408697313</v>
          </cell>
          <cell r="I666">
            <v>0.11292432168530701</v>
          </cell>
          <cell r="J666">
            <v>9.6569200435472263E-2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E667">
            <v>1.54477955116875E-2</v>
          </cell>
          <cell r="F667">
            <v>7.6588876315489596E-8</v>
          </cell>
          <cell r="G667">
            <v>5.5526046143692896E-7</v>
          </cell>
          <cell r="H667">
            <v>1.37887106861242E-3</v>
          </cell>
          <cell r="I667">
            <v>5.4581825455625801E-3</v>
          </cell>
          <cell r="J667">
            <v>1.3866751312798201E-3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D668">
            <v>0.104681131456585</v>
          </cell>
          <cell r="E668">
            <v>0.12012889486704924</v>
          </cell>
          <cell r="F668">
            <v>9.8562514339227969E-3</v>
          </cell>
          <cell r="G668">
            <v>9.8564094249593143E-3</v>
          </cell>
          <cell r="H668">
            <v>6.4286894859218735E-3</v>
          </cell>
          <cell r="I668">
            <v>6.837235034438895E-3</v>
          </cell>
          <cell r="J668">
            <v>5.9309793514129346E-3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E669">
            <v>2.8326961419248263E-4</v>
          </cell>
          <cell r="F669">
            <v>1.5886952551272225E-4</v>
          </cell>
          <cell r="G669">
            <v>1.732650903459704E-4</v>
          </cell>
          <cell r="H669">
            <v>2.1351499015813315E-4</v>
          </cell>
          <cell r="I669">
            <v>2.1400077936733184E-4</v>
          </cell>
          <cell r="J669">
            <v>1.455853013128916E-4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E670">
            <v>2.8326961419248263E-4</v>
          </cell>
          <cell r="F670">
            <v>1.5886952551272225E-4</v>
          </cell>
          <cell r="G670">
            <v>1.732650903459704E-4</v>
          </cell>
          <cell r="H670">
            <v>2.1351499015813315E-4</v>
          </cell>
          <cell r="I670">
            <v>2.1400077936733184E-4</v>
          </cell>
          <cell r="J670">
            <v>1.455853013128916E-4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  <cell r="E671">
            <v>2.0038867547853201E-5</v>
          </cell>
          <cell r="F671">
            <v>3.86929602579566E-8</v>
          </cell>
          <cell r="G671">
            <v>5.1909894226909703E-8</v>
          </cell>
          <cell r="H671">
            <v>4.0881674412801299E-8</v>
          </cell>
          <cell r="I671">
            <v>4.3109017333559802E-8</v>
          </cell>
          <cell r="J671">
            <v>6.3589438488442199E-8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E672">
            <v>2.0038867547853201E-5</v>
          </cell>
          <cell r="F672">
            <v>2.0029070398250215E-5</v>
          </cell>
          <cell r="G672">
            <v>2.0045420067424806E-5</v>
          </cell>
          <cell r="H672">
            <v>2.0057287495224121E-5</v>
          </cell>
          <cell r="I672">
            <v>2.0084239973837611E-5</v>
          </cell>
          <cell r="J672">
            <v>1.1772891521962404E-5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D673">
            <v>0.16979542794863492</v>
          </cell>
          <cell r="E673">
            <v>0.19483786588253352</v>
          </cell>
          <cell r="F673">
            <v>0.108864556102272</v>
          </cell>
          <cell r="G673">
            <v>0.15609747797389634</v>
          </cell>
          <cell r="H673">
            <v>0.18016720425428712</v>
          </cell>
          <cell r="I673">
            <v>0.20426566343996189</v>
          </cell>
          <cell r="J673">
            <v>0.19943971234516053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D674">
            <v>0.27167268471781586</v>
          </cell>
          <cell r="E674">
            <v>0.31174058541205352</v>
          </cell>
          <cell r="F674">
            <v>0.23863039110482964</v>
          </cell>
          <cell r="G674">
            <v>0.33491575452494471</v>
          </cell>
          <cell r="H674">
            <v>0.38088869524638508</v>
          </cell>
          <cell r="I674">
            <v>0.42459581207137981</v>
          </cell>
          <cell r="J674">
            <v>0.4018358878166659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E675">
            <v>1.9542992813429802E-3</v>
          </cell>
          <cell r="F675">
            <v>1.6130940086118599E-7</v>
          </cell>
          <cell r="G675">
            <v>1.25967391033899E-6</v>
          </cell>
          <cell r="H675">
            <v>8.4203660766197404E-3</v>
          </cell>
          <cell r="I675">
            <v>5.5556053188958801E-3</v>
          </cell>
          <cell r="J675">
            <v>6.04625250921134E-3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D676">
            <v>1.12410901121583E-2</v>
          </cell>
          <cell r="E676">
            <v>1.319532527040727E-2</v>
          </cell>
          <cell r="F676">
            <v>1.3190923012013953E-2</v>
          </cell>
          <cell r="G676">
            <v>1.3190857897046339E-2</v>
          </cell>
          <cell r="H676">
            <v>1.2335570865489138E-2</v>
          </cell>
          <cell r="I676">
            <v>1.397648191602311E-2</v>
          </cell>
          <cell r="J676">
            <v>1.3639679948346358E-2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8.7361733280854527E-5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3.373054635222278E-4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4.2466719680308218E-4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2.2311598858189401E-5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2.2311598858189401E-5</v>
          </cell>
        </row>
        <row r="682">
          <cell r="A682" t="str">
            <v>D-EH2R</v>
          </cell>
          <cell r="B682" t="str">
            <v>VAR_fout</v>
          </cell>
          <cell r="C682" t="str">
            <v>EH2</v>
          </cell>
          <cell r="I682">
            <v>5.263151895200476E-3</v>
          </cell>
          <cell r="J682">
            <v>8.7891359239136765E-3</v>
          </cell>
        </row>
        <row r="683">
          <cell r="A683" t="str">
            <v>D-EH2R</v>
          </cell>
          <cell r="B683" t="str">
            <v>VAR_fin</v>
          </cell>
          <cell r="C683" t="str">
            <v>H2</v>
          </cell>
          <cell r="I683">
            <v>5.263151895200476E-3</v>
          </cell>
          <cell r="J683">
            <v>8.7891359239136765E-3</v>
          </cell>
        </row>
        <row r="684">
          <cell r="A684" t="str">
            <v>D-EH2R</v>
          </cell>
          <cell r="B684" t="str">
            <v>VAR_ncap</v>
          </cell>
          <cell r="C684" t="str">
            <v>-</v>
          </cell>
          <cell r="H684">
            <v>1.2971805690368601E-6</v>
          </cell>
          <cell r="I684">
            <v>6.4676312194083705E-4</v>
          </cell>
          <cell r="J684">
            <v>3.5851668993131002E-4</v>
          </cell>
        </row>
        <row r="685">
          <cell r="A685" t="str">
            <v>D-EH2R</v>
          </cell>
          <cell r="B685" t="str">
            <v>VAR_cap</v>
          </cell>
          <cell r="C685" t="str">
            <v>-</v>
          </cell>
          <cell r="H685">
            <v>1.2971805690368601E-6</v>
          </cell>
          <cell r="I685">
            <v>6.4699288105804205E-4</v>
          </cell>
          <cell r="J685">
            <v>5.8004680080674901E-4</v>
          </cell>
        </row>
        <row r="686">
          <cell r="A686" t="str">
            <v>SCOM-ELCSPECADV</v>
          </cell>
          <cell r="B686" t="str">
            <v>VAR_fout</v>
          </cell>
          <cell r="C686" t="str">
            <v>SCOM-ELS</v>
          </cell>
          <cell r="G686">
            <v>6.8282708269223544</v>
          </cell>
          <cell r="H686">
            <v>8.9934174896441323</v>
          </cell>
          <cell r="I686">
            <v>10.968075816319438</v>
          </cell>
          <cell r="J686">
            <v>13.036571155725088</v>
          </cell>
        </row>
        <row r="687">
          <cell r="A687" t="str">
            <v>SCOM-ELCSPECADV</v>
          </cell>
          <cell r="B687" t="str">
            <v>VAR_fin</v>
          </cell>
          <cell r="C687" t="str">
            <v>SCOM_ELC</v>
          </cell>
          <cell r="G687">
            <v>4.5521805512815714</v>
          </cell>
          <cell r="H687">
            <v>5.9956116597627496</v>
          </cell>
          <cell r="I687">
            <v>7.3120505442129557</v>
          </cell>
          <cell r="J687">
            <v>8.6910474371500595</v>
          </cell>
        </row>
        <row r="688">
          <cell r="A688" t="str">
            <v>SCOM-ELCSPECADV</v>
          </cell>
          <cell r="B688" t="str">
            <v>VAR_ncap</v>
          </cell>
          <cell r="C688" t="str">
            <v>-</v>
          </cell>
          <cell r="F688">
            <v>4.1824393727774698E-7</v>
          </cell>
          <cell r="G688">
            <v>0.721743082627051</v>
          </cell>
          <cell r="H688">
            <v>0.22885483497765799</v>
          </cell>
          <cell r="I688">
            <v>0.20872020207136899</v>
          </cell>
          <cell r="J688">
            <v>0.46920737382583799</v>
          </cell>
        </row>
        <row r="689">
          <cell r="A689" t="str">
            <v>SCOM-ELCSPECADV</v>
          </cell>
          <cell r="B689" t="str">
            <v>VAR_cap</v>
          </cell>
          <cell r="C689" t="str">
            <v>-</v>
          </cell>
          <cell r="F689">
            <v>4.1824393727774698E-7</v>
          </cell>
          <cell r="G689">
            <v>0.72174344804386181</v>
          </cell>
          <cell r="H689">
            <v>0.95059811142607675</v>
          </cell>
          <cell r="I689">
            <v>1.1593180614088296</v>
          </cell>
          <cell r="J689">
            <v>1.3779564988473714</v>
          </cell>
        </row>
        <row r="690">
          <cell r="A690" t="str">
            <v>RHSA-WHLTHRD</v>
          </cell>
          <cell r="B690" t="str">
            <v>VAR_fout</v>
          </cell>
          <cell r="C690" t="str">
            <v>RHSA-WHLTHRD</v>
          </cell>
          <cell r="D690">
            <v>1.3170492303935788</v>
          </cell>
          <cell r="E690">
            <v>1.4633764039036539</v>
          </cell>
          <cell r="F690">
            <v>0.96167573491679081</v>
          </cell>
          <cell r="G690">
            <v>1.3814714158491626</v>
          </cell>
          <cell r="H690">
            <v>1.5122448292280264</v>
          </cell>
          <cell r="I690">
            <v>1.6791681492958148</v>
          </cell>
          <cell r="J690">
            <v>1.7662121982251893</v>
          </cell>
        </row>
        <row r="691">
          <cell r="A691" t="str">
            <v>RHSA-WHLTHRD</v>
          </cell>
          <cell r="B691" t="str">
            <v>VAR_fin</v>
          </cell>
          <cell r="C691" t="str">
            <v>RHSA_LTH</v>
          </cell>
          <cell r="D691">
            <v>1.7104535459656873</v>
          </cell>
          <cell r="E691">
            <v>1.8955652900306408</v>
          </cell>
          <cell r="F691">
            <v>1.7749466768857209</v>
          </cell>
          <cell r="G691">
            <v>2.4763682239100082</v>
          </cell>
          <cell r="H691">
            <v>2.6743773053469391</v>
          </cell>
          <cell r="I691">
            <v>2.9311995016642736</v>
          </cell>
          <cell r="J691">
            <v>3.0115130891653736</v>
          </cell>
        </row>
        <row r="692">
          <cell r="A692" t="str">
            <v>RHSA-WHLTHRD</v>
          </cell>
          <cell r="B692" t="str">
            <v>VAR_ncap</v>
          </cell>
          <cell r="C692" t="str">
            <v>-</v>
          </cell>
          <cell r="E692">
            <v>4.2347698746542102E-2</v>
          </cell>
          <cell r="F692">
            <v>3.0797799287359599E-2</v>
          </cell>
          <cell r="G692">
            <v>3.6991834642991703E-2</v>
          </cell>
          <cell r="H692">
            <v>8.97760218513389E-2</v>
          </cell>
          <cell r="I692">
            <v>5.8215934353108102E-2</v>
          </cell>
          <cell r="J692">
            <v>6.8131413464603996E-2</v>
          </cell>
        </row>
        <row r="693">
          <cell r="A693" t="str">
            <v>RHSA-WHLTHRD</v>
          </cell>
          <cell r="B693" t="str">
            <v>VAR_cap</v>
          </cell>
          <cell r="C693" t="str">
            <v>-</v>
          </cell>
          <cell r="D693">
            <v>0.13737412127568699</v>
          </cell>
          <cell r="E693">
            <v>0.14350584109311559</v>
          </cell>
          <cell r="F693">
            <v>9.3378540953484676E-2</v>
          </cell>
          <cell r="G693">
            <v>0.10346135919358601</v>
          </cell>
          <cell r="H693">
            <v>0.170311303818481</v>
          </cell>
          <cell r="I693">
            <v>0.18596555017548799</v>
          </cell>
          <cell r="J693">
            <v>0.20649188152551101</v>
          </cell>
        </row>
        <row r="694">
          <cell r="A694" t="str">
            <v>RHES-SHCONBR7</v>
          </cell>
          <cell r="B694" t="str">
            <v>VAR_fout</v>
          </cell>
          <cell r="C694" t="str">
            <v>RHES-SHCON</v>
          </cell>
          <cell r="E694">
            <v>2.7048728788252183E-4</v>
          </cell>
          <cell r="F694">
            <v>1.5250789747454907E-4</v>
          </cell>
          <cell r="G694">
            <v>1.6465468700186173E-4</v>
          </cell>
          <cell r="H694">
            <v>2.0319322819712938E-4</v>
          </cell>
          <cell r="I694">
            <v>2.0327056360751176E-4</v>
          </cell>
          <cell r="J694">
            <v>1.3872487515616169E-4</v>
          </cell>
        </row>
        <row r="695">
          <cell r="A695" t="str">
            <v>RHES-SHCONBR7</v>
          </cell>
          <cell r="B695" t="str">
            <v>VAR_fin</v>
          </cell>
          <cell r="C695" t="str">
            <v>CON</v>
          </cell>
          <cell r="E695">
            <v>2.7048728788252183E-4</v>
          </cell>
          <cell r="F695">
            <v>1.5250789747454907E-4</v>
          </cell>
          <cell r="G695">
            <v>1.6465468700186173E-4</v>
          </cell>
          <cell r="H695">
            <v>2.0319322819712938E-4</v>
          </cell>
          <cell r="I695">
            <v>2.0327056360751176E-4</v>
          </cell>
          <cell r="J695">
            <v>1.3872487515616169E-4</v>
          </cell>
        </row>
        <row r="696">
          <cell r="A696" t="str">
            <v>RHES-SHCONBR7</v>
          </cell>
          <cell r="B696" t="str">
            <v>VAR_ncap</v>
          </cell>
          <cell r="C696" t="str">
            <v>-</v>
          </cell>
          <cell r="E696">
            <v>1.90056971600557E-5</v>
          </cell>
          <cell r="F696">
            <v>3.9168195222810901E-8</v>
          </cell>
          <cell r="G696">
            <v>5.23852913012428E-8</v>
          </cell>
          <cell r="H696">
            <v>4.0730576005967301E-8</v>
          </cell>
          <cell r="I696">
            <v>4.1993483855136402E-8</v>
          </cell>
          <cell r="J696">
            <v>6.2656759600252203E-8</v>
          </cell>
        </row>
        <row r="697">
          <cell r="A697" t="str">
            <v>RHES-SHCONBR7</v>
          </cell>
          <cell r="B697" t="str">
            <v>VAR_cap</v>
          </cell>
          <cell r="C697" t="str">
            <v>-</v>
          </cell>
          <cell r="E697">
            <v>1.90056971600557E-5</v>
          </cell>
          <cell r="F697">
            <v>1.8997936805292412E-5</v>
          </cell>
          <cell r="G697">
            <v>1.901591518463282E-5</v>
          </cell>
          <cell r="H697">
            <v>1.9027580745845726E-5</v>
          </cell>
          <cell r="I697">
            <v>1.905349249359683E-5</v>
          </cell>
          <cell r="J697">
            <v>1.11747726312353E-5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ITOT-ELS</v>
          </cell>
          <cell r="J698">
            <v>3.784884920125163E-5</v>
          </cell>
        </row>
        <row r="699">
          <cell r="A699" t="str">
            <v>ITOT-SWHCONBR9</v>
          </cell>
          <cell r="B699" t="str">
            <v>VAR_fout</v>
          </cell>
          <cell r="C699" t="str">
            <v>ITOT-SWHC</v>
          </cell>
          <cell r="J699">
            <v>2.1967449510868178E-4</v>
          </cell>
        </row>
        <row r="700">
          <cell r="A700" t="str">
            <v>ITOT-SWHCONBR9</v>
          </cell>
          <cell r="B700" t="str">
            <v>VAR_fin</v>
          </cell>
          <cell r="C700" t="str">
            <v>CON</v>
          </cell>
          <cell r="J700">
            <v>2.5752334430993354E-4</v>
          </cell>
        </row>
        <row r="701">
          <cell r="A701" t="str">
            <v>ITOT-SWHCONBR9</v>
          </cell>
          <cell r="B701" t="str">
            <v>VAR_ncap</v>
          </cell>
          <cell r="C701" t="str">
            <v>-</v>
          </cell>
          <cell r="J701">
            <v>1.3216713770769799E-5</v>
          </cell>
        </row>
        <row r="702">
          <cell r="A702" t="str">
            <v>ITOT-SWHCONBR9</v>
          </cell>
          <cell r="B702" t="str">
            <v>VAR_cap</v>
          </cell>
          <cell r="C702" t="str">
            <v>-</v>
          </cell>
          <cell r="J702">
            <v>1.3216713770769799E-5</v>
          </cell>
        </row>
        <row r="703">
          <cell r="A703" t="str">
            <v>SCOM-SHPLTBR</v>
          </cell>
          <cell r="B703" t="str">
            <v>VAR_fout</v>
          </cell>
          <cell r="C703" t="str">
            <v>SCOM-SHPLT</v>
          </cell>
          <cell r="D703">
            <v>1.8770727646769874</v>
          </cell>
          <cell r="E703">
            <v>2.1600839275972281</v>
          </cell>
          <cell r="F703">
            <v>0.66642970074782548</v>
          </cell>
          <cell r="G703">
            <v>0.83015832249815691</v>
          </cell>
          <cell r="H703">
            <v>0.90288673434810318</v>
          </cell>
          <cell r="I703">
            <v>0.97688151503140708</v>
          </cell>
          <cell r="J703">
            <v>0.81875535355118634</v>
          </cell>
        </row>
        <row r="704">
          <cell r="A704" t="str">
            <v>SCOM-SHPLTBR</v>
          </cell>
          <cell r="B704" t="str">
            <v>VAR_fin</v>
          </cell>
          <cell r="C704" t="str">
            <v>SCOMPLTBRC</v>
          </cell>
          <cell r="D704">
            <v>1.8770727646769874</v>
          </cell>
          <cell r="E704">
            <v>2.1600839275972281</v>
          </cell>
          <cell r="F704">
            <v>0.66642970074782548</v>
          </cell>
          <cell r="G704">
            <v>0.83015832249815691</v>
          </cell>
          <cell r="H704">
            <v>0.90288673434810318</v>
          </cell>
          <cell r="I704">
            <v>0.97688151503140708</v>
          </cell>
          <cell r="J704">
            <v>0.81875535355118634</v>
          </cell>
        </row>
        <row r="705">
          <cell r="A705" t="str">
            <v>SCOM-SHPLTBR</v>
          </cell>
          <cell r="B705" t="str">
            <v>VAR_fin</v>
          </cell>
          <cell r="C705" t="str">
            <v>SPLT</v>
          </cell>
          <cell r="D705">
            <v>2.0856364051966532</v>
          </cell>
          <cell r="E705">
            <v>2.4000932528858097</v>
          </cell>
          <cell r="F705">
            <v>1.0004291084944199</v>
          </cell>
          <cell r="G705">
            <v>1.2392968316166877</v>
          </cell>
          <cell r="H705">
            <v>1.3468856358119332</v>
          </cell>
          <cell r="I705">
            <v>1.4543390712930571</v>
          </cell>
          <cell r="J705">
            <v>1.2189276613157825</v>
          </cell>
        </row>
        <row r="706">
          <cell r="A706" t="str">
            <v>SCOM-SHPLTBR</v>
          </cell>
          <cell r="B706" t="str">
            <v>VAR_ncap</v>
          </cell>
          <cell r="C706" t="str">
            <v>-</v>
          </cell>
          <cell r="D706">
            <v>1.3427475699275099E-6</v>
          </cell>
          <cell r="E706">
            <v>2.4292252916517602E-2</v>
          </cell>
          <cell r="F706">
            <v>4.8130899862094596E-7</v>
          </cell>
          <cell r="G706">
            <v>1.99203626087357E-6</v>
          </cell>
          <cell r="H706">
            <v>4.0051853670004398E-2</v>
          </cell>
          <cell r="I706">
            <v>3.6692744733558602E-2</v>
          </cell>
          <cell r="J706">
            <v>2.4073510745323198E-2</v>
          </cell>
        </row>
        <row r="707">
          <cell r="A707" t="str">
            <v>SCOM-SHPLTBR</v>
          </cell>
          <cell r="B707" t="str">
            <v>VAR_cap</v>
          </cell>
          <cell r="C707" t="str">
            <v>-</v>
          </cell>
          <cell r="D707">
            <v>0.15051221087176395</v>
          </cell>
          <cell r="E707">
            <v>0.17480433790731351</v>
          </cell>
          <cell r="F707">
            <v>9.5599736700358207E-2</v>
          </cell>
          <cell r="G707">
            <v>9.5596358299018622E-2</v>
          </cell>
          <cell r="H707">
            <v>7.0988001928892597E-2</v>
          </cell>
          <cell r="I707">
            <v>7.674525700307773E-2</v>
          </cell>
          <cell r="J707">
            <v>6.7643836817912542E-2</v>
          </cell>
        </row>
        <row r="708">
          <cell r="A708" t="str">
            <v>ITOT-SWHELCHP</v>
          </cell>
          <cell r="B708" t="str">
            <v>VAR_fout</v>
          </cell>
          <cell r="C708" t="str">
            <v>ITOT-SWHAELCH</v>
          </cell>
          <cell r="D708">
            <v>1.1081549636775609</v>
          </cell>
          <cell r="E708">
            <v>1.4007963377871762</v>
          </cell>
          <cell r="F708">
            <v>1.4315124160724955</v>
          </cell>
          <cell r="G708">
            <v>5.9280883648308658</v>
          </cell>
          <cell r="H708">
            <v>6.8055862519871333</v>
          </cell>
          <cell r="I708">
            <v>6.8099108051270942</v>
          </cell>
          <cell r="J708">
            <v>6.8101902592555996</v>
          </cell>
        </row>
        <row r="709">
          <cell r="A709" t="str">
            <v>ITOT-SWHELCHP</v>
          </cell>
          <cell r="B709" t="str">
            <v>VAR_fin</v>
          </cell>
          <cell r="C709" t="str">
            <v>ITOT_ELC</v>
          </cell>
          <cell r="D709">
            <v>0.35967610894134722</v>
          </cell>
          <cell r="E709">
            <v>0.45106405830813723</v>
          </cell>
          <cell r="F709">
            <v>0.45555133801016678</v>
          </cell>
          <cell r="G709">
            <v>1.8503496033251829</v>
          </cell>
          <cell r="H709">
            <v>2.0843041287181117</v>
          </cell>
          <cell r="I709">
            <v>2.047137241224009</v>
          </cell>
          <cell r="J709">
            <v>1.9743461155089852</v>
          </cell>
        </row>
        <row r="710">
          <cell r="A710" t="str">
            <v>ITOT-SWHELCHP</v>
          </cell>
          <cell r="B710" t="str">
            <v>VAR_fin</v>
          </cell>
          <cell r="C710" t="str">
            <v>ITOTELCHPC</v>
          </cell>
          <cell r="D710">
            <v>1.1081549636775609</v>
          </cell>
          <cell r="E710">
            <v>1.4007963377871762</v>
          </cell>
          <cell r="F710">
            <v>1.4315124160724955</v>
          </cell>
          <cell r="G710">
            <v>5.9280883648308658</v>
          </cell>
          <cell r="H710">
            <v>6.8055862519871333</v>
          </cell>
          <cell r="I710">
            <v>6.8099108051270942</v>
          </cell>
          <cell r="J710">
            <v>6.8101902592555996</v>
          </cell>
        </row>
        <row r="711">
          <cell r="A711" t="str">
            <v>ITOT-SWHELCHP</v>
          </cell>
          <cell r="B711" t="str">
            <v>VAR_ncap</v>
          </cell>
          <cell r="C711" t="str">
            <v>-</v>
          </cell>
          <cell r="E711">
            <v>1.61116798394778E-2</v>
          </cell>
          <cell r="F711">
            <v>1.5939267493753899E-3</v>
          </cell>
          <cell r="G711">
            <v>0.24453561646053501</v>
          </cell>
          <cell r="H711">
            <v>0.10035667405024799</v>
          </cell>
          <cell r="I711">
            <v>0.110208068939847</v>
          </cell>
          <cell r="J711">
            <v>0.24798283465321799</v>
          </cell>
        </row>
        <row r="712">
          <cell r="A712" t="str">
            <v>ITOT-SWHELCHP</v>
          </cell>
          <cell r="B712" t="str">
            <v>VAR_cap</v>
          </cell>
          <cell r="C712" t="str">
            <v>-</v>
          </cell>
          <cell r="D712">
            <v>6.02631234918991E-2</v>
          </cell>
          <cell r="E712">
            <v>7.6374419902934976E-2</v>
          </cell>
          <cell r="F712">
            <v>7.7967817980605009E-2</v>
          </cell>
          <cell r="G712">
            <v>0.32250251548906378</v>
          </cell>
          <cell r="H712">
            <v>0.37036162798764322</v>
          </cell>
          <cell r="I712">
            <v>0.37785494948379095</v>
          </cell>
          <cell r="J712">
            <v>0.37041077270773259</v>
          </cell>
        </row>
        <row r="713">
          <cell r="A713" t="str">
            <v>RHES-SHCONBR8</v>
          </cell>
          <cell r="B713" t="str">
            <v>VAR_fout</v>
          </cell>
          <cell r="C713" t="str">
            <v>RHES-SHCON</v>
          </cell>
          <cell r="E713">
            <v>4.9839462309529914E-5</v>
          </cell>
          <cell r="F713">
            <v>4.4497970520399144E-5</v>
          </cell>
          <cell r="G713">
            <v>3.6119729087393761E-5</v>
          </cell>
          <cell r="H713">
            <v>4.8421302930398711E-5</v>
          </cell>
          <cell r="I713">
            <v>4.1814537567932974E-5</v>
          </cell>
          <cell r="J713">
            <v>3.1646807832206898E-5</v>
          </cell>
        </row>
        <row r="714">
          <cell r="A714" t="str">
            <v>RHES-SHCONBR8</v>
          </cell>
          <cell r="B714" t="str">
            <v>VAR_fin</v>
          </cell>
          <cell r="C714" t="str">
            <v>CON</v>
          </cell>
          <cell r="E714">
            <v>4.9839462309529914E-5</v>
          </cell>
          <cell r="F714">
            <v>4.4497970520399144E-5</v>
          </cell>
          <cell r="G714">
            <v>3.6119729087393761E-5</v>
          </cell>
          <cell r="H714">
            <v>4.8421302930398711E-5</v>
          </cell>
          <cell r="I714">
            <v>4.1814537567932974E-5</v>
          </cell>
          <cell r="J714">
            <v>3.1646807832206898E-5</v>
          </cell>
        </row>
        <row r="715">
          <cell r="A715" t="str">
            <v>RHES-SHCONBR8</v>
          </cell>
          <cell r="B715" t="str">
            <v>VAR_ncap</v>
          </cell>
          <cell r="C715" t="str">
            <v>-</v>
          </cell>
          <cell r="E715">
            <v>1.1603769618589199E-6</v>
          </cell>
          <cell r="F715">
            <v>2.4784101805539401E-7</v>
          </cell>
          <cell r="G715">
            <v>3.12778316646805E-7</v>
          </cell>
          <cell r="H715">
            <v>3.5349166143999897E-8</v>
          </cell>
          <cell r="I715">
            <v>2.6445414014775999E-8</v>
          </cell>
          <cell r="J715">
            <v>3.2478824292672501E-8</v>
          </cell>
        </row>
        <row r="716">
          <cell r="A716" t="str">
            <v>RHES-SHCONBR8</v>
          </cell>
          <cell r="B716" t="str">
            <v>VAR_cap</v>
          </cell>
          <cell r="C716" t="str">
            <v>-</v>
          </cell>
          <cell r="E716">
            <v>1.1603769618589199E-6</v>
          </cell>
          <cell r="F716">
            <v>1.3916033601800545E-6</v>
          </cell>
          <cell r="G716">
            <v>1.6946218280563957E-6</v>
          </cell>
          <cell r="H716">
            <v>1.7097868215303158E-6</v>
          </cell>
          <cell r="I716">
            <v>1.7297129953316021E-6</v>
          </cell>
          <cell r="J716">
            <v>1.267628851640126E-6</v>
          </cell>
        </row>
        <row r="717">
          <cell r="A717" t="str">
            <v>RHEM-SHWODBR</v>
          </cell>
          <cell r="B717" t="str">
            <v>VAR_fout</v>
          </cell>
          <cell r="C717" t="str">
            <v>RHEM-SHWOD</v>
          </cell>
          <cell r="D717">
            <v>4.7439217286523405</v>
          </cell>
          <cell r="E717">
            <v>4.2154103407130563</v>
          </cell>
          <cell r="F717">
            <v>5.2404087627682916</v>
          </cell>
          <cell r="G717">
            <v>4.8168292825638934</v>
          </cell>
          <cell r="H717">
            <v>4.2360043428205225</v>
          </cell>
          <cell r="I717">
            <v>3.6413805085959927</v>
          </cell>
          <cell r="J717">
            <v>2.2197516177404197</v>
          </cell>
        </row>
        <row r="718">
          <cell r="A718" t="str">
            <v>RHEM-SHWODBR</v>
          </cell>
          <cell r="B718" t="str">
            <v>VAR_fin</v>
          </cell>
          <cell r="C718" t="str">
            <v>RHEMWODBRC</v>
          </cell>
          <cell r="D718">
            <v>4.7439217286523405</v>
          </cell>
          <cell r="E718">
            <v>4.2154103407130563</v>
          </cell>
          <cell r="F718">
            <v>5.2404087627682916</v>
          </cell>
          <cell r="G718">
            <v>4.8168292825638934</v>
          </cell>
          <cell r="H718">
            <v>4.2360043428205225</v>
          </cell>
          <cell r="I718">
            <v>3.6413805085959927</v>
          </cell>
          <cell r="J718">
            <v>2.2197516177404197</v>
          </cell>
        </row>
        <row r="719">
          <cell r="A719" t="str">
            <v>RHEM-SHWODBR</v>
          </cell>
          <cell r="B719" t="str">
            <v>VAR_fin</v>
          </cell>
          <cell r="C719" t="str">
            <v>RWOD</v>
          </cell>
          <cell r="D719">
            <v>6.5887801786838027</v>
          </cell>
          <cell r="E719">
            <v>5.8547365843236898</v>
          </cell>
          <cell r="F719">
            <v>7.2388215299432792</v>
          </cell>
          <cell r="G719">
            <v>6.6325284000327827</v>
          </cell>
          <cell r="H719">
            <v>5.8327620636504545</v>
          </cell>
          <cell r="I719">
            <v>5.0139953529209187</v>
          </cell>
          <cell r="J719">
            <v>2.9772601956895746</v>
          </cell>
        </row>
        <row r="720">
          <cell r="A720" t="str">
            <v>RHEM-SHWODBR</v>
          </cell>
          <cell r="B720" t="str">
            <v>VAR_ncap</v>
          </cell>
          <cell r="C720" t="str">
            <v>-</v>
          </cell>
          <cell r="D720">
            <v>4.73710054920104E-6</v>
          </cell>
          <cell r="E720">
            <v>7.8768793833811604E-7</v>
          </cell>
          <cell r="F720">
            <v>3.5001538912607197E-2</v>
          </cell>
          <cell r="G720">
            <v>5.1560078576439501E-7</v>
          </cell>
          <cell r="H720">
            <v>0.177302442199579</v>
          </cell>
          <cell r="I720">
            <v>7.3713681474415801E-2</v>
          </cell>
          <cell r="J720">
            <v>2.8554816102249601E-2</v>
          </cell>
        </row>
        <row r="721">
          <cell r="A721" t="str">
            <v>RHEM-SHWODBR</v>
          </cell>
          <cell r="B721" t="str">
            <v>VAR_cap</v>
          </cell>
          <cell r="C721" t="str">
            <v>-</v>
          </cell>
          <cell r="D721">
            <v>0.33507651605554223</v>
          </cell>
          <cell r="E721">
            <v>0.33507698351798904</v>
          </cell>
          <cell r="F721">
            <v>0.37007846535348277</v>
          </cell>
          <cell r="G721">
            <v>0.3700749905036676</v>
          </cell>
          <cell r="H721">
            <v>0.29919972235848097</v>
          </cell>
          <cell r="I721">
            <v>0.25721530087349403</v>
          </cell>
          <cell r="J721">
            <v>0.15704900438991182</v>
          </cell>
        </row>
        <row r="722">
          <cell r="A722" t="str">
            <v>RHES-SHCONBR9</v>
          </cell>
          <cell r="B722" t="str">
            <v>VAR_fout</v>
          </cell>
          <cell r="C722" t="str">
            <v>RHES-SHCON</v>
          </cell>
          <cell r="E722">
            <v>3.5561303928605855E-5</v>
          </cell>
          <cell r="F722">
            <v>3.4474976300025743E-5</v>
          </cell>
          <cell r="G722">
            <v>2.2376595804634959E-5</v>
          </cell>
          <cell r="H722">
            <v>3.3690881925362049E-5</v>
          </cell>
          <cell r="I722">
            <v>2.4994119713347056E-5</v>
          </cell>
          <cell r="J722">
            <v>1.7569654920928518E-5</v>
          </cell>
        </row>
        <row r="723">
          <cell r="A723" t="str">
            <v>RHES-SHCONBR9</v>
          </cell>
          <cell r="B723" t="str">
            <v>VAR_fin</v>
          </cell>
          <cell r="C723" t="str">
            <v>CON</v>
          </cell>
          <cell r="E723">
            <v>3.5561303928605855E-5</v>
          </cell>
          <cell r="F723">
            <v>3.4474976300025743E-5</v>
          </cell>
          <cell r="G723">
            <v>2.2376595804634959E-5</v>
          </cell>
          <cell r="H723">
            <v>3.3690881925362049E-5</v>
          </cell>
          <cell r="I723">
            <v>2.4994119713347056E-5</v>
          </cell>
          <cell r="J723">
            <v>1.7569654920928518E-5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F724">
            <v>-1.26414478602987E-8</v>
          </cell>
          <cell r="H724">
            <v>-3.3921181109432201E-8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D725">
            <v>1.342855634043759E-5</v>
          </cell>
          <cell r="E725">
            <v>6.4844667355417121E-3</v>
          </cell>
          <cell r="F725">
            <v>5.4798048605515749E-3</v>
          </cell>
          <cell r="G725">
            <v>1.2686875069947056E-5</v>
          </cell>
          <cell r="H725">
            <v>1.1261336956336739E-5</v>
          </cell>
          <cell r="I725">
            <v>1.2365546984874435E-5</v>
          </cell>
          <cell r="J725">
            <v>9.8473741342349478E-6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F726">
            <v>1.0570357949733927E-6</v>
          </cell>
          <cell r="G726">
            <v>1.1082694756701678E-6</v>
          </cell>
          <cell r="H726">
            <v>8.5602493856050518E-7</v>
          </cell>
          <cell r="I726">
            <v>7.4579498196998523E-6</v>
          </cell>
          <cell r="J726">
            <v>5.205300954283207E-6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D727">
            <v>2.2846994549665711E-5</v>
          </cell>
          <cell r="E727">
            <v>8.7091445985482509E-4</v>
          </cell>
          <cell r="G727">
            <v>6.0146384354565386E-6</v>
          </cell>
          <cell r="H727">
            <v>6.8952670037909557E-6</v>
          </cell>
          <cell r="I727">
            <v>8.3577037339339482E-6</v>
          </cell>
          <cell r="J727">
            <v>3.5390556444935209E-6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D728">
            <v>3.6275550890103277E-5</v>
          </cell>
          <cell r="E728">
            <v>7.3563614495680283E-3</v>
          </cell>
          <cell r="F728">
            <v>5.4815606972810271E-3</v>
          </cell>
          <cell r="G728">
            <v>2.0833213949191078E-5</v>
          </cell>
          <cell r="H728">
            <v>2.0108433467148251E-5</v>
          </cell>
          <cell r="I728">
            <v>2.8181200538508227E-5</v>
          </cell>
          <cell r="J728">
            <v>1.8591730733011659E-5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D729">
            <v>2267.7887470943801</v>
          </cell>
          <cell r="E729">
            <v>2002.1091736533201</v>
          </cell>
          <cell r="F729">
            <v>1876.4082223078899</v>
          </cell>
          <cell r="G729">
            <v>986.85193939226201</v>
          </cell>
          <cell r="H729">
            <v>670.37572884109295</v>
          </cell>
          <cell r="I729">
            <v>271.08324799761101</v>
          </cell>
          <cell r="J729">
            <v>2.53376151415727E-4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D730">
            <v>30.256635442975568</v>
          </cell>
          <cell r="E730">
            <v>26.711962241580274</v>
          </cell>
          <cell r="F730">
            <v>25.03492476187715</v>
          </cell>
          <cell r="G730">
            <v>13.166761500761947</v>
          </cell>
          <cell r="H730">
            <v>8.9451724123790193</v>
          </cell>
          <cell r="I730">
            <v>3.6171055399064209</v>
          </cell>
          <cell r="J730">
            <v>0.20370882290979564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D731">
            <v>30.770539309285983</v>
          </cell>
          <cell r="E731">
            <v>27.165660429488788</v>
          </cell>
          <cell r="F731">
            <v>25.460084427515408</v>
          </cell>
          <cell r="G731">
            <v>13.390121294331909</v>
          </cell>
          <cell r="H731">
            <v>9.0960071755914793</v>
          </cell>
          <cell r="I731">
            <v>3.6781987516636518</v>
          </cell>
          <cell r="J731">
            <v>3.4379396392907416E-6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F732">
            <v>5.3944557422484368E-5</v>
          </cell>
          <cell r="G732">
            <v>2.7548658544077959E-4</v>
          </cell>
          <cell r="H732">
            <v>1.0976777921714966E-3</v>
          </cell>
          <cell r="I732">
            <v>3.4350216301905353E-4</v>
          </cell>
          <cell r="J732">
            <v>0.20716571966315731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D733">
            <v>9.2701156909223208</v>
          </cell>
          <cell r="E733">
            <v>9.2700589259654098</v>
          </cell>
          <cell r="F733">
            <v>2.4030201596098801</v>
          </cell>
          <cell r="G733">
            <v>4.3215798674320599E-2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D734">
            <v>0.1000012480142646</v>
          </cell>
          <cell r="E734">
            <v>0.10000063566305728</v>
          </cell>
          <cell r="F734">
            <v>2.5922547568607145E-2</v>
          </cell>
          <cell r="G734">
            <v>4.6618984546192637E-4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D735">
            <v>0.1000012480142646</v>
          </cell>
          <cell r="E735">
            <v>0.10000063566305728</v>
          </cell>
          <cell r="F735">
            <v>2.5922547568607145E-2</v>
          </cell>
          <cell r="G735">
            <v>4.6618984546192637E-4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F736">
            <v>13.290698929185066</v>
          </cell>
          <cell r="G736">
            <v>13.175113596716098</v>
          </cell>
          <cell r="H736">
            <v>13.179390887137931</v>
          </cell>
          <cell r="I736">
            <v>13.115304700392768</v>
          </cell>
          <cell r="J736">
            <v>12.838404140405576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F737">
            <v>13.290698929185066</v>
          </cell>
          <cell r="G737">
            <v>13.175113596716098</v>
          </cell>
          <cell r="H737">
            <v>13.179390887137931</v>
          </cell>
          <cell r="I737">
            <v>13.115304700392768</v>
          </cell>
          <cell r="J737">
            <v>12.838404140405576</v>
          </cell>
        </row>
        <row r="738">
          <cell r="A738" t="str">
            <v>RHES-SHSTG-SOL</v>
          </cell>
          <cell r="B738" t="str">
            <v>VAR_fout</v>
          </cell>
          <cell r="C738" t="str">
            <v>AUX_RHES-SHSTG-SOL_OUT</v>
          </cell>
          <cell r="D738">
            <v>5.9987924991209925E-2</v>
          </cell>
          <cell r="E738">
            <v>6.0403156331970458E-2</v>
          </cell>
          <cell r="F738">
            <v>9.7383984661787455E-3</v>
          </cell>
          <cell r="G738">
            <v>1.1884591783182579E-2</v>
          </cell>
          <cell r="H738">
            <v>9.56011970264759E-3</v>
          </cell>
          <cell r="I738">
            <v>4.3654874899221926E-3</v>
          </cell>
          <cell r="J738">
            <v>4.4723920094233835E-3</v>
          </cell>
        </row>
        <row r="739">
          <cell r="A739" t="str">
            <v>RHES-SHSTG-SOL</v>
          </cell>
          <cell r="B739" t="str">
            <v>VAR_fout</v>
          </cell>
          <cell r="C739" t="str">
            <v>RHES-SHASOL</v>
          </cell>
          <cell r="D739">
            <v>5.9927996994215776E-2</v>
          </cell>
          <cell r="E739">
            <v>6.0342813518452068E-2</v>
          </cell>
          <cell r="F739">
            <v>9.7286697963823634E-3</v>
          </cell>
          <cell r="G739">
            <v>1.1872719064118457E-2</v>
          </cell>
          <cell r="H739">
            <v>9.5505691335140887E-3</v>
          </cell>
          <cell r="I739">
            <v>4.3611263635586327E-3</v>
          </cell>
          <cell r="J739">
            <v>4.4679240853380446E-3</v>
          </cell>
        </row>
        <row r="740">
          <cell r="A740" t="str">
            <v>RHES-SHSTG-SOL</v>
          </cell>
          <cell r="B740" t="str">
            <v>VAR_fin</v>
          </cell>
          <cell r="C740" t="str">
            <v>RHES-SHASOL</v>
          </cell>
          <cell r="D740">
            <v>5.9917169692639757E-2</v>
          </cell>
          <cell r="E740">
            <v>6.0347553808976821E-2</v>
          </cell>
          <cell r="F740">
            <v>9.7334578943118304E-3</v>
          </cell>
          <cell r="G740">
            <v>1.1877293867389366E-2</v>
          </cell>
          <cell r="H740">
            <v>9.5554445719569399E-3</v>
          </cell>
          <cell r="I740">
            <v>4.3629972889304754E-3</v>
          </cell>
          <cell r="J740">
            <v>4.4706074792464695E-3</v>
          </cell>
        </row>
        <row r="741">
          <cell r="A741" t="str">
            <v>RHES-SHSTG-SOL</v>
          </cell>
          <cell r="B741" t="str">
            <v>VAR_ncap</v>
          </cell>
          <cell r="C741" t="str">
            <v>-</v>
          </cell>
          <cell r="D741">
            <v>1.1115976825245099E-2</v>
          </cell>
          <cell r="E741">
            <v>4.65309027319232E-5</v>
          </cell>
          <cell r="F741">
            <v>2.6141708161315701E-7</v>
          </cell>
          <cell r="G741">
            <v>3.3374375502893003E-7</v>
          </cell>
          <cell r="H741">
            <v>3.5848755847453799E-4</v>
          </cell>
          <cell r="I741">
            <v>3.5133755275450901E-4</v>
          </cell>
          <cell r="J741">
            <v>2.8260492658497199E-4</v>
          </cell>
        </row>
        <row r="742">
          <cell r="A742" t="str">
            <v>RHES-SHSTG-SOL</v>
          </cell>
          <cell r="B742" t="str">
            <v>VAR_cap</v>
          </cell>
          <cell r="C742" t="str">
            <v>-</v>
          </cell>
          <cell r="D742">
            <v>1.1115976825245099E-2</v>
          </cell>
          <cell r="E742">
            <v>1.1162507727977E-2</v>
          </cell>
          <cell r="F742">
            <v>1.11627691450586E-2</v>
          </cell>
          <cell r="G742">
            <v>1.1163102888813701E-2</v>
          </cell>
          <cell r="H742">
            <v>3.2656790026520301E-3</v>
          </cell>
          <cell r="I742">
            <v>7.1009935634093403E-4</v>
          </cell>
          <cell r="J742">
            <v>6.8922068662325797E-4</v>
          </cell>
        </row>
        <row r="743">
          <cell r="A743" t="str">
            <v>D-ITOT_LTH</v>
          </cell>
          <cell r="B743" t="str">
            <v>VAR_fout</v>
          </cell>
          <cell r="C743" t="str">
            <v>ITOT_LTH_DH</v>
          </cell>
          <cell r="D743">
            <v>7.1200042364737479</v>
          </cell>
          <cell r="E743">
            <v>7.6289071097869039</v>
          </cell>
          <cell r="F743">
            <v>7.6289069305868145</v>
          </cell>
          <cell r="G743">
            <v>7.6289095875995878</v>
          </cell>
          <cell r="H743">
            <v>7.628909929193485</v>
          </cell>
          <cell r="I743">
            <v>7.6289129090848364</v>
          </cell>
          <cell r="J743">
            <v>9.1846384058200066</v>
          </cell>
        </row>
        <row r="744">
          <cell r="A744" t="str">
            <v>D-ITOT_LTH</v>
          </cell>
          <cell r="B744" t="str">
            <v>VAR_fin</v>
          </cell>
          <cell r="C744" t="str">
            <v>LTH</v>
          </cell>
          <cell r="D744">
            <v>7.7403402961226719</v>
          </cell>
          <cell r="E744">
            <v>8.2914020854604047</v>
          </cell>
          <cell r="F744">
            <v>8.2881345577585765</v>
          </cell>
          <cell r="G744">
            <v>8.2826976061930022</v>
          </cell>
          <cell r="H744">
            <v>8.2772652747279629</v>
          </cell>
          <cell r="I744">
            <v>8.2718429254712635</v>
          </cell>
          <cell r="J744">
            <v>9.9456395460442781</v>
          </cell>
        </row>
        <row r="745">
          <cell r="A745" t="str">
            <v>D-ITOT_LTH</v>
          </cell>
          <cell r="B745" t="str">
            <v>VAR_ncap</v>
          </cell>
          <cell r="C745" t="str">
            <v>-</v>
          </cell>
          <cell r="D745">
            <v>0.79547248504704304</v>
          </cell>
          <cell r="E745">
            <v>6.3944911911056504E-8</v>
          </cell>
          <cell r="F745">
            <v>7.27124135690645E-8</v>
          </cell>
          <cell r="G745">
            <v>8.2636951457809206E-8</v>
          </cell>
          <cell r="H745">
            <v>1.20529270189959E-7</v>
          </cell>
          <cell r="I745">
            <v>1.4603088951977699E-7</v>
          </cell>
          <cell r="J745">
            <v>1.48185002141226E-7</v>
          </cell>
        </row>
        <row r="746">
          <cell r="A746" t="str">
            <v>D-ITOT_LTH</v>
          </cell>
          <cell r="B746" t="str">
            <v>VAR_cap</v>
          </cell>
          <cell r="C746" t="str">
            <v>-</v>
          </cell>
          <cell r="D746">
            <v>0.79547248504704304</v>
          </cell>
          <cell r="E746">
            <v>0.79547254899195496</v>
          </cell>
          <cell r="F746">
            <v>0.79547262170436905</v>
          </cell>
          <cell r="G746">
            <v>0.79547270434132</v>
          </cell>
          <cell r="H746">
            <v>0.79547282487059101</v>
          </cell>
          <cell r="I746">
            <v>0.79547297090147995</v>
          </cell>
          <cell r="J746">
            <v>0.79547311908648199</v>
          </cell>
        </row>
        <row r="747">
          <cell r="A747" t="str">
            <v>D-IH2</v>
          </cell>
          <cell r="B747" t="str">
            <v>VAR_fout</v>
          </cell>
          <cell r="C747" t="str">
            <v>IH2</v>
          </cell>
          <cell r="G747">
            <v>2.2664618590523909E-3</v>
          </cell>
          <cell r="H747">
            <v>1.6082607195287186</v>
          </cell>
          <cell r="I747">
            <v>1.4148335505681982</v>
          </cell>
          <cell r="J747">
            <v>3.6975073603400146</v>
          </cell>
        </row>
        <row r="748">
          <cell r="A748" t="str">
            <v>D-IH2</v>
          </cell>
          <cell r="B748" t="str">
            <v>VAR_fin</v>
          </cell>
          <cell r="C748" t="str">
            <v>H2</v>
          </cell>
          <cell r="G748">
            <v>2.2837286449234493E-3</v>
          </cell>
          <cell r="H748">
            <v>1.6205130737247628</v>
          </cell>
          <cell r="I748">
            <v>1.4256123015378126</v>
          </cell>
          <cell r="J748">
            <v>3.7256764061118006</v>
          </cell>
        </row>
        <row r="749">
          <cell r="A749" t="str">
            <v>D-IH2</v>
          </cell>
          <cell r="B749" t="str">
            <v>VAR_ncap</v>
          </cell>
          <cell r="C749" t="str">
            <v>-</v>
          </cell>
          <cell r="G749">
            <v>3.8529495692720599E-4</v>
          </cell>
          <cell r="H749">
            <v>6.8148759241410506E-2</v>
          </cell>
          <cell r="I749">
            <v>7.6842034152563698E-3</v>
          </cell>
          <cell r="J749">
            <v>8.2911055117428398E-2</v>
          </cell>
        </row>
        <row r="750">
          <cell r="A750" t="str">
            <v>D-IH2</v>
          </cell>
          <cell r="B750" t="str">
            <v>VAR_cap</v>
          </cell>
          <cell r="C750" t="str">
            <v>-</v>
          </cell>
          <cell r="G750">
            <v>3.8529495692720599E-4</v>
          </cell>
          <cell r="H750">
            <v>6.8534054198337802E-2</v>
          </cell>
          <cell r="I750">
            <v>7.6218257613594104E-2</v>
          </cell>
          <cell r="J750">
            <v>0.15912931273102199</v>
          </cell>
        </row>
        <row r="751">
          <cell r="A751" t="str">
            <v>D-RHNM_LTH_CHPWOD</v>
          </cell>
          <cell r="B751" t="str">
            <v>VAR_fout</v>
          </cell>
          <cell r="C751" t="str">
            <v>RHNM_LTH_CHPWOD_ON</v>
          </cell>
          <cell r="D751">
            <v>1.7082775341836016E-5</v>
          </cell>
          <cell r="E751">
            <v>8.7907753292069466E-6</v>
          </cell>
          <cell r="F751">
            <v>1.8690752451395816E-6</v>
          </cell>
          <cell r="G751">
            <v>5.5270075901353241E-6</v>
          </cell>
          <cell r="H751">
            <v>6.44215186934327E-6</v>
          </cell>
          <cell r="I751">
            <v>3.0543069536658012E-6</v>
          </cell>
          <cell r="J751">
            <v>2.5614572100182963E-6</v>
          </cell>
        </row>
        <row r="752">
          <cell r="A752" t="str">
            <v>D-RHNM_LTH_CHPWOD</v>
          </cell>
          <cell r="B752" t="str">
            <v>VAR_fout</v>
          </cell>
          <cell r="C752" t="str">
            <v>RHSA_LTH</v>
          </cell>
          <cell r="D752">
            <v>2.6065805279379368E-5</v>
          </cell>
          <cell r="E752">
            <v>1.6297368229468008E-5</v>
          </cell>
          <cell r="F752">
            <v>6.0959684218867946E-6</v>
          </cell>
          <cell r="G752">
            <v>1.3148927672976514E-5</v>
          </cell>
          <cell r="H752">
            <v>1.4478098853384702E-5</v>
          </cell>
          <cell r="I752">
            <v>2.1788765438781642E-5</v>
          </cell>
          <cell r="J752">
            <v>1.3834067590214221E-5</v>
          </cell>
        </row>
        <row r="753">
          <cell r="A753" t="str">
            <v>D-RHNM_LTH_CHPWOD</v>
          </cell>
          <cell r="B753" t="str">
            <v>VAR_fout</v>
          </cell>
          <cell r="C753" t="str">
            <v>LTH</v>
          </cell>
          <cell r="G753">
            <v>1.1084494719838155E-6</v>
          </cell>
          <cell r="H753">
            <v>1.7397497033605665E-6</v>
          </cell>
          <cell r="I753">
            <v>1.2546071237298444E-5</v>
          </cell>
          <cell r="J753">
            <v>6.3413748854695182E-6</v>
          </cell>
        </row>
        <row r="754">
          <cell r="A754" t="str">
            <v>D-RHNM_LTH_CHPWOD</v>
          </cell>
          <cell r="B754" t="str">
            <v>VAR_fin</v>
          </cell>
          <cell r="C754" t="str">
            <v>RHNM_LTH_CHPWOD</v>
          </cell>
          <cell r="D754">
            <v>4.3148580621215381E-5</v>
          </cell>
          <cell r="E754">
            <v>2.5868779166279467E-5</v>
          </cell>
          <cell r="F754">
            <v>8.3533954775722495E-6</v>
          </cell>
          <cell r="G754">
            <v>2.0941910520704391E-5</v>
          </cell>
          <cell r="H754">
            <v>2.3668265082174128E-5</v>
          </cell>
          <cell r="I754">
            <v>3.7389143629745898E-5</v>
          </cell>
          <cell r="J754">
            <v>2.2736899685702034E-5</v>
          </cell>
        </row>
        <row r="755">
          <cell r="A755" t="str">
            <v>RHNS-SHWODBR</v>
          </cell>
          <cell r="B755" t="str">
            <v>VAR_fout</v>
          </cell>
          <cell r="C755" t="str">
            <v>RHNS-SHWOD</v>
          </cell>
          <cell r="E755">
            <v>2.6571040697480938E-2</v>
          </cell>
          <cell r="F755">
            <v>2.5268620592602663E-2</v>
          </cell>
          <cell r="G755">
            <v>0.11677892785792171</v>
          </cell>
          <cell r="H755">
            <v>0.12044026916722451</v>
          </cell>
          <cell r="I755">
            <v>0.12366594168509375</v>
          </cell>
          <cell r="J755">
            <v>0.12246423961039971</v>
          </cell>
        </row>
        <row r="756">
          <cell r="A756" t="str">
            <v>RHNS-SHWODBR</v>
          </cell>
          <cell r="B756" t="str">
            <v>VAR_fin</v>
          </cell>
          <cell r="C756" t="str">
            <v>RHNSWODBRC</v>
          </cell>
          <cell r="E756">
            <v>2.6571040697480938E-2</v>
          </cell>
          <cell r="F756">
            <v>2.5268620592602663E-2</v>
          </cell>
          <cell r="G756">
            <v>0.11677892785792171</v>
          </cell>
          <cell r="H756">
            <v>0.12044026916722451</v>
          </cell>
          <cell r="I756">
            <v>0.12366594168509375</v>
          </cell>
          <cell r="J756">
            <v>0.12246423961039971</v>
          </cell>
        </row>
        <row r="757">
          <cell r="A757" t="str">
            <v>RHNS-SHWODBR</v>
          </cell>
          <cell r="B757" t="str">
            <v>VAR_fin</v>
          </cell>
          <cell r="C757" t="str">
            <v>RWOD</v>
          </cell>
          <cell r="E757">
            <v>3.6904223190945745E-2</v>
          </cell>
          <cell r="F757">
            <v>3.4017256242164527E-2</v>
          </cell>
          <cell r="G757">
            <v>0.15382557257894244</v>
          </cell>
          <cell r="H757">
            <v>0.15847518213709688</v>
          </cell>
          <cell r="I757">
            <v>0.16247805575995528</v>
          </cell>
          <cell r="J757">
            <v>0.16089920378148434</v>
          </cell>
        </row>
        <row r="758">
          <cell r="A758" t="str">
            <v>RHNS-SHWODBR</v>
          </cell>
          <cell r="B758" t="str">
            <v>VAR_ncap</v>
          </cell>
          <cell r="C758" t="str">
            <v>-</v>
          </cell>
          <cell r="E758">
            <v>1.9807103088585799E-3</v>
          </cell>
          <cell r="F758">
            <v>6.5543431557818204E-3</v>
          </cell>
          <cell r="H758">
            <v>2.11084595401997E-2</v>
          </cell>
        </row>
        <row r="759">
          <cell r="A759" t="str">
            <v>RHNS-SHWODBR</v>
          </cell>
          <cell r="B759" t="str">
            <v>VAR_cap</v>
          </cell>
          <cell r="C759" t="str">
            <v>-</v>
          </cell>
          <cell r="E759">
            <v>1.9807103088585799E-3</v>
          </cell>
          <cell r="F759">
            <v>8.5347767741773273E-3</v>
          </cell>
          <cell r="G759">
            <v>8.5347821895010705E-3</v>
          </cell>
          <cell r="H759">
            <v>2.156951342300811E-2</v>
          </cell>
          <cell r="I759">
            <v>2.116236284222257E-2</v>
          </cell>
          <cell r="J759">
            <v>8.9287247704675412E-3</v>
          </cell>
        </row>
        <row r="760">
          <cell r="A760" t="str">
            <v>D-RHNM_NKEV_GAS_ELC_CHP</v>
          </cell>
          <cell r="B760" t="str">
            <v>VAR_fout</v>
          </cell>
          <cell r="C760" t="str">
            <v>ELC5</v>
          </cell>
          <cell r="E760">
            <v>1.0946488858984773E-3</v>
          </cell>
          <cell r="F760">
            <v>2.1362082064700968E-3</v>
          </cell>
        </row>
        <row r="761">
          <cell r="A761" t="str">
            <v>D-RHNM_NKEV_GAS_ELC_CHP</v>
          </cell>
          <cell r="B761" t="str">
            <v>VAR_fout</v>
          </cell>
          <cell r="C761" t="str">
            <v>RHNM_ELC</v>
          </cell>
          <cell r="E761">
            <v>1.0654902765041985E-2</v>
          </cell>
          <cell r="F761">
            <v>4.5484223504375067E-2</v>
          </cell>
        </row>
        <row r="762">
          <cell r="A762" t="str">
            <v>D-RHNM_NKEV_GAS_ELC_CHP</v>
          </cell>
          <cell r="B762" t="str">
            <v>VAR_fin</v>
          </cell>
          <cell r="C762" t="str">
            <v>RHNM_NKEV_GAS_ELC_CHP</v>
          </cell>
          <cell r="E762">
            <v>1.1749551650940467E-2</v>
          </cell>
          <cell r="F762">
            <v>4.7615949206586648E-2</v>
          </cell>
        </row>
        <row r="763">
          <cell r="A763" t="str">
            <v>D-RLFO</v>
          </cell>
          <cell r="B763" t="str">
            <v>VAR_fout</v>
          </cell>
          <cell r="C763" t="str">
            <v>CO2</v>
          </cell>
          <cell r="D763">
            <v>4514.48390889236</v>
          </cell>
          <cell r="E763">
            <v>3846.5271860550502</v>
          </cell>
          <cell r="F763">
            <v>3678.5936123202</v>
          </cell>
          <cell r="G763">
            <v>1737.20452970258</v>
          </cell>
          <cell r="H763">
            <v>1083.83322509083</v>
          </cell>
          <cell r="I763">
            <v>389.50141109852399</v>
          </cell>
          <cell r="J763">
            <v>2.6861981647713601E-4</v>
          </cell>
        </row>
        <row r="764">
          <cell r="A764" t="str">
            <v>D-RLFO</v>
          </cell>
          <cell r="B764" t="str">
            <v>VAR_fout</v>
          </cell>
          <cell r="C764" t="str">
            <v>RLFO</v>
          </cell>
          <cell r="D764">
            <v>60.231842150000404</v>
          </cell>
          <cell r="E764">
            <v>51.320023057297085</v>
          </cell>
          <cell r="F764">
            <v>49.079521555877207</v>
          </cell>
          <cell r="G764">
            <v>23.177901209222835</v>
          </cell>
          <cell r="H764">
            <v>14.461488135616735</v>
          </cell>
          <cell r="I764">
            <v>5.1970346613296741</v>
          </cell>
          <cell r="J764">
            <v>0.44672514655066631</v>
          </cell>
        </row>
        <row r="765">
          <cell r="A765" t="str">
            <v>D-RLFO</v>
          </cell>
          <cell r="B765" t="str">
            <v>VAR_fin</v>
          </cell>
          <cell r="C765" t="str">
            <v>LFO</v>
          </cell>
          <cell r="D765">
            <v>61.254869862854285</v>
          </cell>
          <cell r="E765">
            <v>52.191685021099737</v>
          </cell>
          <cell r="F765">
            <v>49.913074794032575</v>
          </cell>
          <cell r="G765">
            <v>23.571296196778533</v>
          </cell>
          <cell r="H765">
            <v>14.706013908966518</v>
          </cell>
          <cell r="I765">
            <v>5.2849580881753662</v>
          </cell>
          <cell r="J765">
            <v>3.6447736292691462E-6</v>
          </cell>
        </row>
        <row r="766">
          <cell r="A766" t="str">
            <v>D-RLFO</v>
          </cell>
          <cell r="B766" t="str">
            <v>VAR_fin</v>
          </cell>
          <cell r="C766" t="str">
            <v>BDS</v>
          </cell>
          <cell r="F766">
            <v>5.4152865512685914E-5</v>
          </cell>
          <cell r="G766">
            <v>2.7781738115073031E-4</v>
          </cell>
          <cell r="H766">
            <v>1.1002306313379635E-3</v>
          </cell>
          <cell r="I766">
            <v>3.4740617942322674E-4</v>
          </cell>
          <cell r="J766">
            <v>0.45431059673755797</v>
          </cell>
        </row>
        <row r="767">
          <cell r="A767" t="str">
            <v>D-SCOM_LTH_CHPBIO</v>
          </cell>
          <cell r="B767" t="str">
            <v>VAR_fout</v>
          </cell>
          <cell r="C767" t="str">
            <v>SCOM_LTH_CHPBIO_ON</v>
          </cell>
          <cell r="D767">
            <v>1.4243100090129093</v>
          </cell>
          <cell r="E767">
            <v>1.5427993322921958</v>
          </cell>
        </row>
        <row r="768">
          <cell r="A768" t="str">
            <v>D-SCOM_LTH_CHPBIO</v>
          </cell>
          <cell r="B768" t="str">
            <v>VAR_fout</v>
          </cell>
          <cell r="C768" t="str">
            <v>LTH</v>
          </cell>
          <cell r="E768">
            <v>3.553551682589183E-2</v>
          </cell>
        </row>
        <row r="769">
          <cell r="A769" t="str">
            <v>D-SCOM_LTH_CHPBIO</v>
          </cell>
          <cell r="B769" t="str">
            <v>VAR_fin</v>
          </cell>
          <cell r="C769" t="str">
            <v>SCOM_LTH_CHPBIO</v>
          </cell>
          <cell r="D769">
            <v>1.4243100090129093</v>
          </cell>
          <cell r="E769">
            <v>1.578334849118088</v>
          </cell>
        </row>
        <row r="770">
          <cell r="A770" t="str">
            <v>D-SCOM_NKEV_GAS_ELC_CHP</v>
          </cell>
          <cell r="B770" t="str">
            <v>VAR_fout</v>
          </cell>
          <cell r="C770" t="str">
            <v>ELC5</v>
          </cell>
          <cell r="D770">
            <v>4.5587314482164439E-3</v>
          </cell>
          <cell r="E770">
            <v>1.774666410094427E-3</v>
          </cell>
          <cell r="F770">
            <v>1.4741636753119896E-3</v>
          </cell>
        </row>
        <row r="771">
          <cell r="A771" t="str">
            <v>D-SCOM_NKEV_GAS_ELC_CHP</v>
          </cell>
          <cell r="B771" t="str">
            <v>VAR_fout</v>
          </cell>
          <cell r="C771" t="str">
            <v>SCOM_ELC</v>
          </cell>
          <cell r="D771">
            <v>0.58984784934360113</v>
          </cell>
          <cell r="E771">
            <v>0.62412834437509246</v>
          </cell>
          <cell r="F771">
            <v>3.3020995905378561E-2</v>
          </cell>
        </row>
        <row r="772">
          <cell r="A772" t="str">
            <v>D-SCOM_NKEV_GAS_ELC_CHP</v>
          </cell>
          <cell r="B772" t="str">
            <v>VAR_fin</v>
          </cell>
          <cell r="C772" t="str">
            <v>SCOM_NKEV_GAS_ELC_CHP</v>
          </cell>
          <cell r="D772">
            <v>0.5944065807918173</v>
          </cell>
          <cell r="E772">
            <v>0.62590301078518684</v>
          </cell>
          <cell r="F772">
            <v>3.4489305936688121E-2</v>
          </cell>
        </row>
        <row r="773">
          <cell r="A773" t="str">
            <v>RHEM-SHLTHDH</v>
          </cell>
          <cell r="B773" t="str">
            <v>VAR_fout</v>
          </cell>
          <cell r="C773" t="str">
            <v>RHEM-SHLTHD</v>
          </cell>
          <cell r="D773">
            <v>3.3954397611190403</v>
          </cell>
          <cell r="E773">
            <v>3.7887283228030992</v>
          </cell>
          <cell r="F773">
            <v>4.4410483692580707</v>
          </cell>
          <cell r="G773">
            <v>5.2322802421100461</v>
          </cell>
          <cell r="H773">
            <v>5.2205805652565402</v>
          </cell>
          <cell r="I773">
            <v>5.2936034959663969</v>
          </cell>
          <cell r="J773">
            <v>4.7178463848598495</v>
          </cell>
        </row>
        <row r="774">
          <cell r="A774" t="str">
            <v>RHEM-SHLTHDH</v>
          </cell>
          <cell r="B774" t="str">
            <v>VAR_fin</v>
          </cell>
          <cell r="C774" t="str">
            <v>RHEMLTHDHC</v>
          </cell>
          <cell r="D774">
            <v>3.3954397611190403</v>
          </cell>
          <cell r="E774">
            <v>3.7887283228030992</v>
          </cell>
          <cell r="F774">
            <v>4.4410483692580707</v>
          </cell>
          <cell r="G774">
            <v>5.2322802421100461</v>
          </cell>
          <cell r="H774">
            <v>5.2205805652565402</v>
          </cell>
          <cell r="I774">
            <v>5.2936034959663969</v>
          </cell>
          <cell r="J774">
            <v>4.7178463848598495</v>
          </cell>
        </row>
        <row r="775">
          <cell r="A775" t="str">
            <v>RHEM-SHLTHDH</v>
          </cell>
          <cell r="B775" t="str">
            <v>VAR_fin</v>
          </cell>
          <cell r="C775" t="str">
            <v>RHEM_LTH_DH</v>
          </cell>
          <cell r="D775">
            <v>3.4297371324434716</v>
          </cell>
          <cell r="E775">
            <v>3.8269983058617147</v>
          </cell>
          <cell r="F775">
            <v>4.9765061240458124</v>
          </cell>
          <cell r="G775">
            <v>5.8631369223151619</v>
          </cell>
          <cell r="H775">
            <v>5.8500266139668318</v>
          </cell>
          <cell r="I775">
            <v>5.9318539285236573</v>
          </cell>
          <cell r="J775">
            <v>5.2866777108497853</v>
          </cell>
        </row>
        <row r="776">
          <cell r="A776" t="str">
            <v>RHEM-SHLTHDH</v>
          </cell>
          <cell r="B776" t="str">
            <v>VAR_ncap</v>
          </cell>
          <cell r="C776" t="str">
            <v>-</v>
          </cell>
          <cell r="D776">
            <v>4.2604325237895903E-8</v>
          </cell>
          <cell r="E776">
            <v>4.56875812102382E-2</v>
          </cell>
          <cell r="F776">
            <v>0.16798005022175</v>
          </cell>
          <cell r="G776">
            <v>4.6990687712601002E-2</v>
          </cell>
          <cell r="H776">
            <v>4.1472169249182601E-2</v>
          </cell>
          <cell r="I776">
            <v>7.03823506925388E-2</v>
          </cell>
          <cell r="J776">
            <v>5.0328293412594698E-2</v>
          </cell>
        </row>
        <row r="777">
          <cell r="A777" t="str">
            <v>RHEM-SHLTHDH</v>
          </cell>
          <cell r="B777" t="str">
            <v>VAR_cap</v>
          </cell>
          <cell r="C777" t="str">
            <v>-</v>
          </cell>
          <cell r="D777">
            <v>0.31562550971601322</v>
          </cell>
          <cell r="E777">
            <v>0.28027486410531821</v>
          </cell>
          <cell r="F777">
            <v>0.43587067645328659</v>
          </cell>
          <cell r="G777">
            <v>0.42845364650607304</v>
          </cell>
          <cell r="H777">
            <v>0.38023944985782299</v>
          </cell>
          <cell r="I777">
            <v>0.38748637243131406</v>
          </cell>
          <cell r="J777">
            <v>0.36410020331871795</v>
          </cell>
        </row>
        <row r="778">
          <cell r="A778" t="str">
            <v>D-ITOT_SOLELC</v>
          </cell>
          <cell r="B778" t="str">
            <v>VAR_fout</v>
          </cell>
          <cell r="C778" t="str">
            <v>ITOT_ELC</v>
          </cell>
          <cell r="D778">
            <v>3.5148997191520657</v>
          </cell>
          <cell r="E778">
            <v>4.8466409029332311</v>
          </cell>
          <cell r="F778">
            <v>11.158836359331552</v>
          </cell>
          <cell r="G778">
            <v>19.391321013909902</v>
          </cell>
          <cell r="H778">
            <v>22.253843932154027</v>
          </cell>
          <cell r="I778">
            <v>39.515738148948664</v>
          </cell>
          <cell r="J778">
            <v>46.942228831377918</v>
          </cell>
        </row>
        <row r="779">
          <cell r="A779" t="str">
            <v>D-ITOT_SOLELC</v>
          </cell>
          <cell r="B779" t="str">
            <v>VAR_fout</v>
          </cell>
          <cell r="C779" t="str">
            <v>ELC5</v>
          </cell>
          <cell r="D779">
            <v>3.0542805554667836E-3</v>
          </cell>
          <cell r="E779">
            <v>1.9826478438295103E-3</v>
          </cell>
          <cell r="F779">
            <v>2.2548970032504473E-3</v>
          </cell>
          <cell r="G779">
            <v>8.5478825145848245E-2</v>
          </cell>
          <cell r="H779">
            <v>2.6969263962963765E-3</v>
          </cell>
          <cell r="I779">
            <v>1.3315418365792808</v>
          </cell>
          <cell r="J779">
            <v>1.1015076704969349</v>
          </cell>
        </row>
        <row r="780">
          <cell r="A780" t="str">
            <v>D-ITOT_SOLELC</v>
          </cell>
          <cell r="B780" t="str">
            <v>VAR_fin</v>
          </cell>
          <cell r="C780" t="str">
            <v>ITOT_SOL_ELC</v>
          </cell>
          <cell r="D780">
            <v>3.517953999707534</v>
          </cell>
          <cell r="E780">
            <v>4.8486224103667395</v>
          </cell>
          <cell r="F780">
            <v>11.161091256334805</v>
          </cell>
          <cell r="G780">
            <v>19.476799839055737</v>
          </cell>
          <cell r="H780">
            <v>22.256540858550313</v>
          </cell>
          <cell r="I780">
            <v>40.847279985527962</v>
          </cell>
          <cell r="J780">
            <v>48.043736501874911</v>
          </cell>
        </row>
        <row r="781">
          <cell r="A781" t="str">
            <v>D-SWOD</v>
          </cell>
          <cell r="B781" t="str">
            <v>VAR_fout</v>
          </cell>
          <cell r="C781" t="str">
            <v>SWOD</v>
          </cell>
          <cell r="D781">
            <v>8.5743701770305147</v>
          </cell>
          <cell r="E781">
            <v>9.2007421364112503</v>
          </cell>
          <cell r="F781">
            <v>11.047769280368991</v>
          </cell>
          <cell r="G781">
            <v>10.73008936713881</v>
          </cell>
          <cell r="H781">
            <v>9.5367403692530583</v>
          </cell>
          <cell r="I781">
            <v>8.0112542578283321</v>
          </cell>
          <cell r="J781">
            <v>5.086582960593133</v>
          </cell>
        </row>
        <row r="782">
          <cell r="A782" t="str">
            <v>D-SWOD</v>
          </cell>
          <cell r="B782" t="str">
            <v>VAR_fin</v>
          </cell>
          <cell r="C782" t="str">
            <v>WOD</v>
          </cell>
          <cell r="D782">
            <v>8.5743701770305147</v>
          </cell>
          <cell r="E782">
            <v>9.2007421364112503</v>
          </cell>
          <cell r="F782">
            <v>11.047769280368991</v>
          </cell>
          <cell r="G782">
            <v>10.73008936713881</v>
          </cell>
          <cell r="H782">
            <v>9.5367403692530583</v>
          </cell>
          <cell r="I782">
            <v>8.0112542578283321</v>
          </cell>
          <cell r="J782">
            <v>5.086582960593133</v>
          </cell>
        </row>
        <row r="783">
          <cell r="A783" t="str">
            <v>ITOT-PROCESSCO2CCS</v>
          </cell>
          <cell r="B783" t="str">
            <v>VAR_fout</v>
          </cell>
          <cell r="C783" t="str">
            <v>CO2_O</v>
          </cell>
          <cell r="I783">
            <v>9.5099220149331878E-2</v>
          </cell>
          <cell r="J783">
            <v>678.37734653191626</v>
          </cell>
        </row>
        <row r="784">
          <cell r="A784" t="str">
            <v>ITOT-PROCESSCO2CCS</v>
          </cell>
          <cell r="B784" t="str">
            <v>VAR_fout</v>
          </cell>
          <cell r="C784" t="str">
            <v>CO2</v>
          </cell>
          <cell r="I784">
            <v>-9.5099220149331906E-2</v>
          </cell>
          <cell r="J784">
            <v>-678.37734653191603</v>
          </cell>
        </row>
        <row r="785">
          <cell r="A785" t="str">
            <v>ITOT-PROCESSCO2CCS</v>
          </cell>
          <cell r="B785" t="str">
            <v>VAR_fin</v>
          </cell>
          <cell r="C785" t="str">
            <v>ITOT_ELC</v>
          </cell>
          <cell r="I785">
            <v>2.0138658384564404E-4</v>
          </cell>
          <cell r="J785">
            <v>1.4365637926558215</v>
          </cell>
        </row>
        <row r="786">
          <cell r="A786" t="str">
            <v>ITOT-PROCESSCO2CCS</v>
          </cell>
          <cell r="B786" t="str">
            <v>VAR_fin</v>
          </cell>
          <cell r="C786" t="str">
            <v>ITOT_LTH_DH</v>
          </cell>
          <cell r="I786">
            <v>7.8317004828861556E-5</v>
          </cell>
          <cell r="J786">
            <v>0.55866369714393049</v>
          </cell>
        </row>
        <row r="787">
          <cell r="A787" t="str">
            <v>ITOT-PROCESSCO2CCS</v>
          </cell>
          <cell r="B787" t="str">
            <v>VAR_ncap</v>
          </cell>
          <cell r="C787" t="str">
            <v>-</v>
          </cell>
          <cell r="I787">
            <v>0.274974469056876</v>
          </cell>
          <cell r="J787">
            <v>2063.7295364704801</v>
          </cell>
        </row>
        <row r="788">
          <cell r="A788" t="str">
            <v>ITOT-PROCESSCO2CCS</v>
          </cell>
          <cell r="B788" t="str">
            <v>VAR_cap</v>
          </cell>
          <cell r="C788" t="str">
            <v>-</v>
          </cell>
          <cell r="I788">
            <v>0.274974469056876</v>
          </cell>
          <cell r="J788">
            <v>2064.0045109395401</v>
          </cell>
        </row>
        <row r="789">
          <cell r="A789" t="str">
            <v>SCOM-SHLTHCHPBIO</v>
          </cell>
          <cell r="B789" t="str">
            <v>VAR_fout</v>
          </cell>
          <cell r="C789" t="str">
            <v>SCOM-SHLTHC-BIO</v>
          </cell>
          <cell r="D789">
            <v>1.4100669089227811</v>
          </cell>
          <cell r="E789">
            <v>1.527371338969274</v>
          </cell>
        </row>
        <row r="790">
          <cell r="A790" t="str">
            <v>SCOM-SHLTHCHPBIO</v>
          </cell>
          <cell r="B790" t="str">
            <v>VAR_fin</v>
          </cell>
          <cell r="C790" t="str">
            <v>SCOM_LTH_CHPBIO_ON</v>
          </cell>
          <cell r="D790">
            <v>1.4243100090129093</v>
          </cell>
          <cell r="E790">
            <v>1.5427993322921958</v>
          </cell>
        </row>
        <row r="791">
          <cell r="A791" t="str">
            <v>SCOM-SHLTHCHPBIO</v>
          </cell>
          <cell r="B791" t="str">
            <v>VAR_fin</v>
          </cell>
          <cell r="C791" t="str">
            <v>SCOMLTHCHPC</v>
          </cell>
          <cell r="D791">
            <v>1.4100669089227811</v>
          </cell>
          <cell r="E791">
            <v>1.527371338969274</v>
          </cell>
        </row>
        <row r="792">
          <cell r="A792" t="str">
            <v>SCOM-SHLTHCHPBIO</v>
          </cell>
          <cell r="B792" t="str">
            <v>VAR_ncap</v>
          </cell>
          <cell r="C792" t="str">
            <v>-</v>
          </cell>
          <cell r="D792">
            <v>7.5521685364729107E-8</v>
          </cell>
          <cell r="E792">
            <v>4.5314890707877101E-2</v>
          </cell>
          <cell r="F792">
            <v>4.1704452514222098E-2</v>
          </cell>
          <cell r="G792">
            <v>3.27472388589993E-2</v>
          </cell>
          <cell r="H792">
            <v>4.9143057007154801E-2</v>
          </cell>
          <cell r="I792">
            <v>3.9560706102431599E-2</v>
          </cell>
          <cell r="J792">
            <v>5.1502142207763599E-2</v>
          </cell>
        </row>
        <row r="793">
          <cell r="A793" t="str">
            <v>SCOM-SHLTHCHPBIO</v>
          </cell>
          <cell r="B793" t="str">
            <v>VAR_cap</v>
          </cell>
          <cell r="C793" t="str">
            <v>-</v>
          </cell>
          <cell r="D793">
            <v>0.10913976310072436</v>
          </cell>
          <cell r="E793">
            <v>0.12094257379882549</v>
          </cell>
          <cell r="F793">
            <v>0.1010817996126811</v>
          </cell>
          <cell r="G793">
            <v>8.7971178547998019E-2</v>
          </cell>
          <cell r="H793">
            <v>8.9270879330411099E-2</v>
          </cell>
          <cell r="I793">
            <v>7.7084646479918695E-2</v>
          </cell>
          <cell r="J793">
            <v>7.70850566518234E-2</v>
          </cell>
        </row>
        <row r="794">
          <cell r="A794" t="str">
            <v>RHES-SHNGABR</v>
          </cell>
          <cell r="B794" t="str">
            <v>VAR_fout</v>
          </cell>
          <cell r="C794" t="str">
            <v>CO2_R</v>
          </cell>
          <cell r="D794">
            <v>1043.1352269823701</v>
          </cell>
          <cell r="E794">
            <v>1119.4137345127201</v>
          </cell>
          <cell r="F794">
            <v>641.51162487187503</v>
          </cell>
          <cell r="G794">
            <v>438.565387498478</v>
          </cell>
          <cell r="H794">
            <v>282.59075886149901</v>
          </cell>
          <cell r="I794">
            <v>130.722938906959</v>
          </cell>
          <cell r="J794">
            <v>52.044521651135803</v>
          </cell>
        </row>
        <row r="795">
          <cell r="A795" t="str">
            <v>RHES-SHNGABR</v>
          </cell>
          <cell r="B795" t="str">
            <v>VAR_fout</v>
          </cell>
          <cell r="C795" t="str">
            <v>RHES-SHNGA</v>
          </cell>
          <cell r="D795">
            <v>17.570540170802385</v>
          </cell>
          <cell r="E795">
            <v>18.855373187714164</v>
          </cell>
          <cell r="F795">
            <v>10.433296407387983</v>
          </cell>
          <cell r="G795">
            <v>7.1326574677527574</v>
          </cell>
          <cell r="H795">
            <v>4.5959465657065364</v>
          </cell>
          <cell r="I795">
            <v>2.1260272082108735</v>
          </cell>
          <cell r="J795">
            <v>0.86092114332748892</v>
          </cell>
        </row>
        <row r="796">
          <cell r="A796" t="str">
            <v>RHES-SHNGABR</v>
          </cell>
          <cell r="B796" t="str">
            <v>VAR_fin</v>
          </cell>
          <cell r="C796" t="str">
            <v>RNGA</v>
          </cell>
          <cell r="D796">
            <v>18.495305442949881</v>
          </cell>
          <cell r="E796">
            <v>19.847761250225439</v>
          </cell>
          <cell r="F796">
            <v>11.374319589926879</v>
          </cell>
          <cell r="G796">
            <v>7.7759820478453499</v>
          </cell>
          <cell r="H796">
            <v>5.0104744478989121</v>
          </cell>
          <cell r="I796">
            <v>2.317782604733317</v>
          </cell>
          <cell r="J796">
            <v>0.92277520658042267</v>
          </cell>
        </row>
        <row r="797">
          <cell r="A797" t="str">
            <v>RHES-SHNGABR</v>
          </cell>
          <cell r="B797" t="str">
            <v>VAR_ncap</v>
          </cell>
          <cell r="C797" t="str">
            <v>-</v>
          </cell>
          <cell r="E797">
            <v>0.101377211124723</v>
          </cell>
          <cell r="F797">
            <v>1.06214513941869E-7</v>
          </cell>
          <cell r="G797">
            <v>2.7541498430281103E-7</v>
          </cell>
          <cell r="H797">
            <v>1.6220195292834302E-2</v>
          </cell>
          <cell r="I797">
            <v>0.15556129642109701</v>
          </cell>
          <cell r="J797">
            <v>1.3222549409368701E-7</v>
          </cell>
        </row>
        <row r="798">
          <cell r="A798" t="str">
            <v>RHES-SHNGABR</v>
          </cell>
          <cell r="B798" t="str">
            <v>VAR_cap</v>
          </cell>
          <cell r="C798" t="str">
            <v>-</v>
          </cell>
          <cell r="D798">
            <v>1.4219190615860799</v>
          </cell>
          <cell r="E798">
            <v>1.5232962101857164</v>
          </cell>
          <cell r="F798">
            <v>1.2711498931514058</v>
          </cell>
          <cell r="G798">
            <v>1.27110946470734</v>
          </cell>
          <cell r="H798">
            <v>0.37150786165950922</v>
          </cell>
          <cell r="I798">
            <v>0.17178142257809886</v>
          </cell>
          <cell r="J798">
            <v>9.9562461771806804E-2</v>
          </cell>
        </row>
        <row r="799">
          <cell r="A799" t="str">
            <v>SCOM-SHLTHCHPHFC</v>
          </cell>
          <cell r="B799" t="str">
            <v>VAR_ncap</v>
          </cell>
          <cell r="C799" t="str">
            <v>-</v>
          </cell>
          <cell r="G799">
            <v>3.91994489587615E-6</v>
          </cell>
          <cell r="H799">
            <v>6.9987019871943103E-6</v>
          </cell>
          <cell r="I799">
            <v>4.76588898795374E-6</v>
          </cell>
          <cell r="J799">
            <v>3.8646945419394104E-6</v>
          </cell>
        </row>
        <row r="800">
          <cell r="A800" t="str">
            <v>SCOM-SHLTHCHPHFC</v>
          </cell>
          <cell r="B800" t="str">
            <v>VAR_cap</v>
          </cell>
          <cell r="C800" t="str">
            <v>-</v>
          </cell>
          <cell r="G800">
            <v>3.91994489587615E-6</v>
          </cell>
          <cell r="H800">
            <v>8.3123228607232598E-6</v>
          </cell>
          <cell r="I800">
            <v>6.9446155965364198E-6</v>
          </cell>
          <cell r="J800">
            <v>5.4275838768693505E-6</v>
          </cell>
        </row>
        <row r="801">
          <cell r="A801" t="str">
            <v>RHSA-WHNGABR</v>
          </cell>
          <cell r="B801" t="str">
            <v>VAR_fout</v>
          </cell>
          <cell r="C801" t="str">
            <v>RHSA-WHNGA</v>
          </cell>
          <cell r="D801">
            <v>6.3804526216007824</v>
          </cell>
          <cell r="E801">
            <v>5.5361540507513034</v>
          </cell>
          <cell r="F801">
            <v>5.1881759829361194</v>
          </cell>
          <cell r="G801">
            <v>3.2226557718702575</v>
          </cell>
          <cell r="H801">
            <v>2.0985784866377677</v>
          </cell>
          <cell r="I801">
            <v>1.1357344994523539</v>
          </cell>
          <cell r="J801">
            <v>0.44106017000361414</v>
          </cell>
        </row>
        <row r="802">
          <cell r="A802" t="str">
            <v>RHSA-WHNGABR</v>
          </cell>
          <cell r="B802" t="str">
            <v>VAR_fout</v>
          </cell>
          <cell r="C802" t="str">
            <v>CO2_R</v>
          </cell>
          <cell r="D802">
            <v>479.81003714437901</v>
          </cell>
          <cell r="E802">
            <v>414.11019689969902</v>
          </cell>
          <cell r="F802">
            <v>553.47189083134003</v>
          </cell>
          <cell r="G802">
            <v>329.59115416063003</v>
          </cell>
          <cell r="H802">
            <v>213.283077031738</v>
          </cell>
          <cell r="I802">
            <v>115.427157133585</v>
          </cell>
          <cell r="J802">
            <v>44.825900395666103</v>
          </cell>
        </row>
        <row r="803">
          <cell r="A803" t="str">
            <v>RHSA-WHNGABR</v>
          </cell>
          <cell r="B803" t="str">
            <v>VAR_fin</v>
          </cell>
          <cell r="C803" t="str">
            <v>RNGA</v>
          </cell>
          <cell r="D803">
            <v>8.5072701621343594</v>
          </cell>
          <cell r="E803">
            <v>7.3423793776542432</v>
          </cell>
          <cell r="F803">
            <v>9.8133313977187839</v>
          </cell>
          <cell r="G803">
            <v>5.8438147900820958</v>
          </cell>
          <cell r="H803">
            <v>3.7816148409882606</v>
          </cell>
          <cell r="I803">
            <v>2.0465808002408701</v>
          </cell>
          <cell r="J803">
            <v>0.79478546800826411</v>
          </cell>
        </row>
        <row r="804">
          <cell r="A804" t="str">
            <v>RHSA-WHNGABR</v>
          </cell>
          <cell r="B804" t="str">
            <v>VAR_ncap</v>
          </cell>
          <cell r="C804" t="str">
            <v>-</v>
          </cell>
          <cell r="E804">
            <v>2.9037294611366501E-7</v>
          </cell>
          <cell r="F804">
            <v>1.9521317923005399E-7</v>
          </cell>
          <cell r="G804">
            <v>3.5090154786014798E-7</v>
          </cell>
          <cell r="H804">
            <v>6.2276370944738799E-2</v>
          </cell>
          <cell r="I804">
            <v>1.53821183637112E-2</v>
          </cell>
          <cell r="J804">
            <v>2.6577713754327399E-7</v>
          </cell>
        </row>
        <row r="805">
          <cell r="A805" t="str">
            <v>RHSA-WHNGABR</v>
          </cell>
          <cell r="B805" t="str">
            <v>VAR_cap</v>
          </cell>
          <cell r="C805" t="str">
            <v>-</v>
          </cell>
          <cell r="D805">
            <v>0.43610075802020798</v>
          </cell>
          <cell r="E805">
            <v>0.42633251228863217</v>
          </cell>
          <cell r="F805">
            <v>0.38152204579884752</v>
          </cell>
          <cell r="G805">
            <v>0.32868147018264615</v>
          </cell>
          <cell r="H805">
            <v>0.14751298866489512</v>
          </cell>
          <cell r="I805">
            <v>7.7658218003733542E-2</v>
          </cell>
          <cell r="J805">
            <v>3.7502852047638036E-2</v>
          </cell>
        </row>
        <row r="806">
          <cell r="A806" t="str">
            <v>ITOT-SWHWSTBR</v>
          </cell>
          <cell r="B806" t="str">
            <v>VAR_fout</v>
          </cell>
          <cell r="C806" t="str">
            <v>ITOT-SWH</v>
          </cell>
          <cell r="D806">
            <v>4.1173693365016817</v>
          </cell>
          <cell r="E806">
            <v>4.2663306003318366</v>
          </cell>
          <cell r="F806">
            <v>5.8190678096012602</v>
          </cell>
          <cell r="G806">
            <v>5.7536330397675322</v>
          </cell>
          <cell r="H806">
            <v>5.6871045145589294</v>
          </cell>
          <cell r="I806">
            <v>5.6494406471381717</v>
          </cell>
          <cell r="J806">
            <v>2.9375922133417514</v>
          </cell>
        </row>
        <row r="807">
          <cell r="A807" t="str">
            <v>ITOT-SWHWSTBR</v>
          </cell>
          <cell r="B807" t="str">
            <v>VAR_fout</v>
          </cell>
          <cell r="C807" t="str">
            <v>CO2_I</v>
          </cell>
          <cell r="D807">
            <v>723.65885308211398</v>
          </cell>
          <cell r="E807">
            <v>749.83992369468604</v>
          </cell>
          <cell r="F807">
            <v>1022.7452513844599</v>
          </cell>
          <cell r="G807">
            <v>1011.24459486823</v>
          </cell>
          <cell r="H807">
            <v>999.55170255884195</v>
          </cell>
          <cell r="I807">
            <v>992.93199252731495</v>
          </cell>
          <cell r="J807">
            <v>501.11867168771101</v>
          </cell>
        </row>
        <row r="808">
          <cell r="A808" t="str">
            <v>ITOT-SWHWSTBR</v>
          </cell>
          <cell r="B808" t="str">
            <v>VAR_fin</v>
          </cell>
          <cell r="C808" t="str">
            <v>IWST</v>
          </cell>
          <cell r="D808">
            <v>7.7980479857986333</v>
          </cell>
          <cell r="E808">
            <v>8.0801715915375709</v>
          </cell>
          <cell r="F808">
            <v>11.020961760608442</v>
          </cell>
          <cell r="G808">
            <v>10.897032272286987</v>
          </cell>
          <cell r="H808">
            <v>10.771031277573732</v>
          </cell>
          <cell r="I808">
            <v>10.699698195337456</v>
          </cell>
          <cell r="J808">
            <v>5.3999856862899902</v>
          </cell>
        </row>
        <row r="809">
          <cell r="A809" t="str">
            <v>ITOT-SWHWSTBR</v>
          </cell>
          <cell r="B809" t="str">
            <v>VAR_ncap</v>
          </cell>
          <cell r="C809" t="str">
            <v>-</v>
          </cell>
          <cell r="E809">
            <v>1.10679194031524E-5</v>
          </cell>
          <cell r="F809">
            <v>1.50749859055866E-5</v>
          </cell>
          <cell r="G809">
            <v>1.63107360699864E-5</v>
          </cell>
          <cell r="H809">
            <v>0.239008135466</v>
          </cell>
          <cell r="I809">
            <v>0.10399088012306699</v>
          </cell>
          <cell r="J809">
            <v>7.2195605839796796E-3</v>
          </cell>
        </row>
        <row r="810">
          <cell r="A810" t="str">
            <v>ITOT-SWHWSTBR</v>
          </cell>
          <cell r="B810" t="str">
            <v>VAR_cap</v>
          </cell>
          <cell r="C810" t="str">
            <v>-</v>
          </cell>
          <cell r="D810">
            <v>0.35954682816669398</v>
          </cell>
          <cell r="E810">
            <v>0.35952879897208406</v>
          </cell>
          <cell r="F810">
            <v>0.35951477695129197</v>
          </cell>
          <cell r="G810">
            <v>0.35946702521637769</v>
          </cell>
          <cell r="H810">
            <v>0.33222903270886173</v>
          </cell>
          <cell r="I810">
            <v>0.34299287442478543</v>
          </cell>
          <cell r="J810">
            <v>0.18376406646239468</v>
          </cell>
        </row>
        <row r="811">
          <cell r="A811" t="str">
            <v>SCOM-SHSTG-ELC</v>
          </cell>
          <cell r="B811" t="str">
            <v>VAR_fout</v>
          </cell>
          <cell r="C811" t="str">
            <v>SCOM-SHAELCB</v>
          </cell>
          <cell r="D811">
            <v>1.2330549700059955E-5</v>
          </cell>
          <cell r="E811">
            <v>1.7820014540909345E-4</v>
          </cell>
          <cell r="F811">
            <v>1.7582914365179562E-5</v>
          </cell>
          <cell r="G811">
            <v>1.2321999616777934E-5</v>
          </cell>
          <cell r="H811">
            <v>2.9278217390732809E-5</v>
          </cell>
          <cell r="I811">
            <v>1.2355693834890886E-5</v>
          </cell>
          <cell r="J811">
            <v>6.8026998203957481E-6</v>
          </cell>
        </row>
        <row r="812">
          <cell r="A812" t="str">
            <v>SCOM-SHSTG-ELC</v>
          </cell>
          <cell r="B812" t="str">
            <v>VAR_fin</v>
          </cell>
          <cell r="C812" t="str">
            <v>SCOM-SHAELCB</v>
          </cell>
          <cell r="D812">
            <v>1.1153353855700043E-5</v>
          </cell>
          <cell r="E812">
            <v>2.3802235310514449E-4</v>
          </cell>
          <cell r="F812">
            <v>2.1997717155306633E-5</v>
          </cell>
          <cell r="G812">
            <v>1.4598815063721773E-5</v>
          </cell>
          <cell r="H812">
            <v>3.6078294433811861E-5</v>
          </cell>
          <cell r="I812">
            <v>1.4136710140730892E-5</v>
          </cell>
          <cell r="J812">
            <v>7.066302140463212E-6</v>
          </cell>
        </row>
        <row r="813">
          <cell r="A813" t="str">
            <v>SCOM-SHSTG-ELC</v>
          </cell>
          <cell r="B813" t="str">
            <v>VAR_ncap</v>
          </cell>
          <cell r="C813" t="str">
            <v>-</v>
          </cell>
          <cell r="D813">
            <v>1.3502239421815601E-2</v>
          </cell>
          <cell r="E813">
            <v>4.31175300456177E-3</v>
          </cell>
          <cell r="F813">
            <v>2.6812987258149401E-5</v>
          </cell>
          <cell r="G813">
            <v>3.3937211048511597E-5</v>
          </cell>
          <cell r="H813">
            <v>2.1957233323522999E-3</v>
          </cell>
          <cell r="I813">
            <v>3.30162448894599E-3</v>
          </cell>
          <cell r="J813">
            <v>4.9120821576601305E-4</v>
          </cell>
        </row>
        <row r="814">
          <cell r="A814" t="str">
            <v>SCOM-SHSTG-ELC</v>
          </cell>
          <cell r="B814" t="str">
            <v>VAR_cap</v>
          </cell>
          <cell r="C814" t="str">
            <v>-</v>
          </cell>
          <cell r="D814">
            <v>1.3502239421815601E-2</v>
          </cell>
          <cell r="E814">
            <v>1.7256123043128145E-2</v>
          </cell>
          <cell r="F814">
            <v>1.6596832147812778E-2</v>
          </cell>
          <cell r="G814">
            <v>8.928134647829062E-3</v>
          </cell>
          <cell r="H814">
            <v>5.4537538259626789E-3</v>
          </cell>
          <cell r="I814">
            <v>5.4807038653041833E-3</v>
          </cell>
          <cell r="J814">
            <v>3.7510144623933189E-3</v>
          </cell>
        </row>
        <row r="815">
          <cell r="A815" t="str">
            <v>SCOM-SHNGABR</v>
          </cell>
          <cell r="B815" t="str">
            <v>VAR_fout</v>
          </cell>
          <cell r="C815" t="str">
            <v>CO2_S</v>
          </cell>
          <cell r="D815">
            <v>1440.94614766413</v>
          </cell>
          <cell r="E815">
            <v>1508.6878139422699</v>
          </cell>
          <cell r="F815">
            <v>1263.8060621530501</v>
          </cell>
          <cell r="G815">
            <v>839.86289107124298</v>
          </cell>
          <cell r="H815">
            <v>510.205057362199</v>
          </cell>
          <cell r="I815">
            <v>212.32630183379899</v>
          </cell>
          <cell r="J815">
            <v>63.650746280881499</v>
          </cell>
        </row>
        <row r="816">
          <cell r="A816" t="str">
            <v>SCOM-SHNGABR</v>
          </cell>
          <cell r="B816" t="str">
            <v>VAR_fout</v>
          </cell>
          <cell r="C816" t="str">
            <v>SCOM-SHNGA</v>
          </cell>
          <cell r="D816">
            <v>24.189717659217575</v>
          </cell>
          <cell r="E816">
            <v>25.326923087532478</v>
          </cell>
          <cell r="F816">
            <v>19.083115085237836</v>
          </cell>
          <cell r="G816">
            <v>12.848823839396408</v>
          </cell>
          <cell r="H816">
            <v>7.8054822682479283</v>
          </cell>
          <cell r="I816">
            <v>3.248319788546981</v>
          </cell>
          <cell r="J816">
            <v>0.97377468977824755</v>
          </cell>
        </row>
        <row r="817">
          <cell r="A817" t="str">
            <v>SCOM-SHNGABR</v>
          </cell>
          <cell r="B817" t="str">
            <v>VAR_fin</v>
          </cell>
          <cell r="C817" t="str">
            <v>SNGA</v>
          </cell>
          <cell r="D817">
            <v>25.54869056142077</v>
          </cell>
          <cell r="E817">
            <v>26.749783935146603</v>
          </cell>
          <cell r="F817">
            <v>22.407908903422854</v>
          </cell>
          <cell r="G817">
            <v>14.891186011901478</v>
          </cell>
          <cell r="H817">
            <v>9.0461889603226702</v>
          </cell>
          <cell r="I817">
            <v>3.7646507417340271</v>
          </cell>
          <cell r="J817">
            <v>1.1285593312213034</v>
          </cell>
        </row>
        <row r="818">
          <cell r="A818" t="str">
            <v>SCOM-SHNGABR</v>
          </cell>
          <cell r="B818" t="str">
            <v>VAR_ncap</v>
          </cell>
          <cell r="C818" t="str">
            <v>-</v>
          </cell>
          <cell r="D818">
            <v>2.16519390935116E-7</v>
          </cell>
          <cell r="E818">
            <v>1.0638036806457001E-6</v>
          </cell>
          <cell r="F818">
            <v>9.0085819817693905E-7</v>
          </cell>
          <cell r="G818">
            <v>1.52484467347284E-6</v>
          </cell>
          <cell r="H818">
            <v>0.32611408157441102</v>
          </cell>
          <cell r="I818">
            <v>6.5514591088444802E-6</v>
          </cell>
          <cell r="J818">
            <v>8.8048399141212402E-7</v>
          </cell>
        </row>
        <row r="819">
          <cell r="A819" t="str">
            <v>SCOM-SHNGABR</v>
          </cell>
          <cell r="B819" t="str">
            <v>VAR_cap</v>
          </cell>
          <cell r="C819" t="str">
            <v>-</v>
          </cell>
          <cell r="D819">
            <v>2.7746817143946108</v>
          </cell>
          <cell r="E819">
            <v>2.7746168848252859</v>
          </cell>
          <cell r="F819">
            <v>2.186344621372788</v>
          </cell>
          <cell r="G819">
            <v>2.1862852251306588</v>
          </cell>
          <cell r="H819">
            <v>0.89309284325339289</v>
          </cell>
          <cell r="I819">
            <v>0.32612014660927391</v>
          </cell>
          <cell r="J819">
            <v>0.13794469973059317</v>
          </cell>
        </row>
        <row r="820">
          <cell r="A820" t="str">
            <v>RHEM-SHELCHP</v>
          </cell>
          <cell r="B820" t="str">
            <v>VAR_fout</v>
          </cell>
          <cell r="C820" t="str">
            <v>RHEM-SHAELCH</v>
          </cell>
          <cell r="D820">
            <v>9.902540743739209</v>
          </cell>
          <cell r="E820">
            <v>11.655200035757138</v>
          </cell>
          <cell r="F820">
            <v>10.461316628075329</v>
          </cell>
          <cell r="G820">
            <v>19.597078213214452</v>
          </cell>
          <cell r="H820">
            <v>24.008888306034564</v>
          </cell>
          <cell r="I820">
            <v>29.038481512546319</v>
          </cell>
          <cell r="J820">
            <v>28.568526227582929</v>
          </cell>
        </row>
        <row r="821">
          <cell r="A821" t="str">
            <v>RHEM-SHELCHP</v>
          </cell>
          <cell r="B821" t="str">
            <v>VAR_fin</v>
          </cell>
          <cell r="C821" t="str">
            <v>RHEMELCHPC</v>
          </cell>
          <cell r="D821">
            <v>9.902540743739209</v>
          </cell>
          <cell r="E821">
            <v>11.655200035757138</v>
          </cell>
          <cell r="F821">
            <v>10.461316628075329</v>
          </cell>
          <cell r="G821">
            <v>19.597078213214452</v>
          </cell>
          <cell r="H821">
            <v>24.008888306034564</v>
          </cell>
          <cell r="I821">
            <v>29.038481512546319</v>
          </cell>
          <cell r="J821">
            <v>28.568526227582929</v>
          </cell>
        </row>
        <row r="822">
          <cell r="A822" t="str">
            <v>RHEM-SHELCHP</v>
          </cell>
          <cell r="B822" t="str">
            <v>VAR_fin</v>
          </cell>
          <cell r="C822" t="str">
            <v>RHEM_ELC</v>
          </cell>
          <cell r="D822">
            <v>3.0945439824185019</v>
          </cell>
          <cell r="E822">
            <v>3.582540994597486</v>
          </cell>
          <cell r="F822">
            <v>3.3615976081111674</v>
          </cell>
          <cell r="G822">
            <v>5.610077411460014</v>
          </cell>
          <cell r="H822">
            <v>6.5323377849968818</v>
          </cell>
          <cell r="I822">
            <v>7.5089943986883512</v>
          </cell>
          <cell r="J822">
            <v>6.8553358205018089</v>
          </cell>
        </row>
        <row r="823">
          <cell r="A823" t="str">
            <v>RHEM-SHELCHP</v>
          </cell>
          <cell r="B823" t="str">
            <v>VAR_ncap</v>
          </cell>
          <cell r="C823" t="str">
            <v>-</v>
          </cell>
          <cell r="D823">
            <v>6.0711519343579202E-7</v>
          </cell>
          <cell r="E823">
            <v>0.123762077165236</v>
          </cell>
          <cell r="F823">
            <v>5.00348553448252E-7</v>
          </cell>
          <cell r="G823">
            <v>0.56085549044427896</v>
          </cell>
          <cell r="H823">
            <v>0.88981400919273201</v>
          </cell>
          <cell r="I823">
            <v>0.77770946397229701</v>
          </cell>
          <cell r="J823">
            <v>1.07655948343515</v>
          </cell>
        </row>
        <row r="824">
          <cell r="A824" t="str">
            <v>RHEM-SHELCHP</v>
          </cell>
          <cell r="B824" t="str">
            <v>VAR_cap</v>
          </cell>
          <cell r="C824" t="str">
            <v>-</v>
          </cell>
          <cell r="D824">
            <v>0.69925255750719251</v>
          </cell>
          <cell r="E824">
            <v>0.8230145780909125</v>
          </cell>
          <cell r="F824">
            <v>0.82301386008192767</v>
          </cell>
          <cell r="G824">
            <v>1.3838700351172928</v>
          </cell>
          <cell r="H824">
            <v>1.6954179773923375</v>
          </cell>
          <cell r="I824">
            <v>2.0505798671592803</v>
          </cell>
          <cell r="J824">
            <v>2.0173557235627717</v>
          </cell>
        </row>
        <row r="825">
          <cell r="A825" t="str">
            <v>RHNM-SHSTG-ELC</v>
          </cell>
          <cell r="B825" t="str">
            <v>VAR_fout</v>
          </cell>
          <cell r="C825" t="str">
            <v>RHNM-SHAELCB</v>
          </cell>
          <cell r="E825">
            <v>2.0472381071747162E-2</v>
          </cell>
          <cell r="F825">
            <v>6.457535193794676E-5</v>
          </cell>
          <cell r="G825">
            <v>5.9880266429732771E-4</v>
          </cell>
          <cell r="H825">
            <v>2.8031955834737209E-4</v>
          </cell>
          <cell r="I825">
            <v>2.5676019355303843E-4</v>
          </cell>
          <cell r="J825">
            <v>2.1377633472221061E-4</v>
          </cell>
        </row>
        <row r="826">
          <cell r="A826" t="str">
            <v>RHNM-SHSTG-ELC</v>
          </cell>
          <cell r="B826" t="str">
            <v>VAR_fout</v>
          </cell>
          <cell r="C826" t="str">
            <v>AUX_RHNM-SHSTG-ELC_OUT</v>
          </cell>
          <cell r="E826">
            <v>2.049285345281892E-2</v>
          </cell>
          <cell r="F826">
            <v>6.4639927289884678E-5</v>
          </cell>
          <cell r="G826">
            <v>5.9940146696162567E-4</v>
          </cell>
          <cell r="H826">
            <v>2.805998779057195E-4</v>
          </cell>
          <cell r="I826">
            <v>2.5701695374659146E-4</v>
          </cell>
          <cell r="J826">
            <v>2.1399011105693283E-4</v>
          </cell>
        </row>
        <row r="827">
          <cell r="A827" t="str">
            <v>RHNM-SHSTG-ELC</v>
          </cell>
          <cell r="B827" t="str">
            <v>VAR_fin</v>
          </cell>
          <cell r="C827" t="str">
            <v>RHNM-SHAELCB</v>
          </cell>
          <cell r="E827">
            <v>2.0469931860350121E-2</v>
          </cell>
          <cell r="F827">
            <v>6.2146909737775967E-5</v>
          </cell>
          <cell r="G827">
            <v>5.965383389742743E-4</v>
          </cell>
          <cell r="H827">
            <v>2.7911787275804531E-4</v>
          </cell>
          <cell r="I827">
            <v>2.5565255730010373E-4</v>
          </cell>
          <cell r="J827">
            <v>2.1389874882375316E-4</v>
          </cell>
        </row>
        <row r="828">
          <cell r="A828" t="str">
            <v>RHNM-SHSTG-ELC</v>
          </cell>
          <cell r="B828" t="str">
            <v>VAR_ncap</v>
          </cell>
          <cell r="C828" t="str">
            <v>-</v>
          </cell>
          <cell r="D828">
            <v>1.4112692490239899E-4</v>
          </cell>
          <cell r="E828">
            <v>2.5481134680833601E-3</v>
          </cell>
          <cell r="F828">
            <v>2.11152739610792E-4</v>
          </cell>
          <cell r="G828">
            <v>5.05458011391983E-5</v>
          </cell>
          <cell r="H828">
            <v>1.7279149053802699E-4</v>
          </cell>
          <cell r="I828">
            <v>5.6962033148066202E-5</v>
          </cell>
          <cell r="J828">
            <v>3.9603272838343003E-5</v>
          </cell>
        </row>
        <row r="829">
          <cell r="A829" t="str">
            <v>RHNM-SHSTG-ELC</v>
          </cell>
          <cell r="B829" t="str">
            <v>VAR_cap</v>
          </cell>
          <cell r="C829" t="str">
            <v>-</v>
          </cell>
          <cell r="D829">
            <v>1.4112692490239899E-4</v>
          </cell>
          <cell r="E829">
            <v>2.6823051301395652E-3</v>
          </cell>
          <cell r="F829">
            <v>2.8359970414814878E-3</v>
          </cell>
          <cell r="G829">
            <v>2.7679368458430171E-3</v>
          </cell>
          <cell r="H829">
            <v>1.613950621413874E-3</v>
          </cell>
          <cell r="I829">
            <v>2.0335147989316757E-4</v>
          </cell>
          <cell r="J829">
            <v>8.6023126989171511E-5</v>
          </cell>
        </row>
        <row r="830">
          <cell r="A830" t="str">
            <v>D-RWOD</v>
          </cell>
          <cell r="B830" t="str">
            <v>VAR_fout</v>
          </cell>
          <cell r="C830" t="str">
            <v>RWOD</v>
          </cell>
          <cell r="D830">
            <v>13.723005628793967</v>
          </cell>
          <cell r="E830">
            <v>14.19086275391148</v>
          </cell>
          <cell r="F830">
            <v>17.688531901298944</v>
          </cell>
          <cell r="G830">
            <v>15.818689887430915</v>
          </cell>
          <cell r="H830">
            <v>13.587480629752079</v>
          </cell>
          <cell r="I830">
            <v>11.515198668859821</v>
          </cell>
          <cell r="J830">
            <v>6.9646123280180658</v>
          </cell>
        </row>
        <row r="831">
          <cell r="A831" t="str">
            <v>D-RWOD</v>
          </cell>
          <cell r="B831" t="str">
            <v>VAR_fin</v>
          </cell>
          <cell r="C831" t="str">
            <v>WOD</v>
          </cell>
          <cell r="D831">
            <v>13.723005628793967</v>
          </cell>
          <cell r="E831">
            <v>14.19086275391148</v>
          </cell>
          <cell r="F831">
            <v>17.688531901298944</v>
          </cell>
          <cell r="G831">
            <v>15.818689887430915</v>
          </cell>
          <cell r="H831">
            <v>13.587480629752079</v>
          </cell>
          <cell r="I831">
            <v>11.515198668859821</v>
          </cell>
          <cell r="J831">
            <v>6.9646123280180658</v>
          </cell>
        </row>
        <row r="832">
          <cell r="A832" t="str">
            <v>RHNS-SHLTHCHPWOD</v>
          </cell>
          <cell r="B832" t="str">
            <v>VAR_ncap</v>
          </cell>
          <cell r="C832" t="str">
            <v>-</v>
          </cell>
          <cell r="G832">
            <v>9.2226406082422704E-6</v>
          </cell>
          <cell r="H832">
            <v>1.4915733511614301E-5</v>
          </cell>
          <cell r="I832">
            <v>9.0095611212863302E-6</v>
          </cell>
          <cell r="J832">
            <v>4.7663078145550998E-6</v>
          </cell>
        </row>
        <row r="833">
          <cell r="A833" t="str">
            <v>RHNS-SHLTHCHPWOD</v>
          </cell>
          <cell r="B833" t="str">
            <v>VAR_cap</v>
          </cell>
          <cell r="C833" t="str">
            <v>-</v>
          </cell>
          <cell r="G833">
            <v>9.2226406082422704E-6</v>
          </cell>
          <cell r="H833">
            <v>1.9389359086550049E-5</v>
          </cell>
          <cell r="I833">
            <v>1.6484053421420299E-5</v>
          </cell>
          <cell r="J833">
            <v>8.1411457608320479E-6</v>
          </cell>
        </row>
        <row r="834">
          <cell r="A834" t="str">
            <v>RHNM-SHELCBR</v>
          </cell>
          <cell r="B834" t="str">
            <v>VAR_fout</v>
          </cell>
          <cell r="C834" t="str">
            <v>RHNM-SHAELCB</v>
          </cell>
          <cell r="E834">
            <v>0.15438772870196441</v>
          </cell>
          <cell r="F834">
            <v>7.5729104521202488E-4</v>
          </cell>
          <cell r="G834">
            <v>1.587484146326563E-3</v>
          </cell>
          <cell r="H834">
            <v>1.6981211561838475E-3</v>
          </cell>
          <cell r="I834">
            <v>1.8592019744995355E-3</v>
          </cell>
          <cell r="J834">
            <v>1.6070959541159202E-3</v>
          </cell>
        </row>
        <row r="835">
          <cell r="A835" t="str">
            <v>RHNM-SHELCBR</v>
          </cell>
          <cell r="B835" t="str">
            <v>VAR_fin</v>
          </cell>
          <cell r="C835" t="str">
            <v>RHNM_ELC</v>
          </cell>
          <cell r="E835">
            <v>0.1625133986336465</v>
          </cell>
          <cell r="F835">
            <v>7.971484686442365E-4</v>
          </cell>
          <cell r="G835">
            <v>1.671035943501644E-3</v>
          </cell>
          <cell r="H835">
            <v>1.7874959538777334E-3</v>
          </cell>
          <cell r="I835">
            <v>1.9570547099995107E-3</v>
          </cell>
          <cell r="J835">
            <v>1.6916799517009674E-3</v>
          </cell>
        </row>
        <row r="836">
          <cell r="A836" t="str">
            <v>RHNM-SHELCBR</v>
          </cell>
          <cell r="B836" t="str">
            <v>VAR_ncap</v>
          </cell>
          <cell r="C836" t="str">
            <v>-</v>
          </cell>
          <cell r="E836">
            <v>1.21836433025565E-2</v>
          </cell>
          <cell r="H836">
            <v>8.6374260003250396E-4</v>
          </cell>
        </row>
        <row r="837">
          <cell r="A837" t="str">
            <v>RHNM-SHELCBR</v>
          </cell>
          <cell r="B837" t="str">
            <v>VAR_cap</v>
          </cell>
          <cell r="C837" t="str">
            <v>-</v>
          </cell>
          <cell r="E837">
            <v>1.21836433025565E-2</v>
          </cell>
          <cell r="F837">
            <v>1.2051062243238344E-2</v>
          </cell>
          <cell r="G837">
            <v>1.1761770977593091E-2</v>
          </cell>
          <cell r="H837">
            <v>6.8599193685426356E-3</v>
          </cell>
          <cell r="I837">
            <v>8.6334711864084627E-4</v>
          </cell>
          <cell r="J837">
            <v>3.6461353878455399E-4</v>
          </cell>
        </row>
        <row r="838">
          <cell r="A838" t="str">
            <v>RHNS-SHSTG-NGAHP</v>
          </cell>
          <cell r="B838" t="str">
            <v>VAR_fout</v>
          </cell>
          <cell r="C838" t="str">
            <v>RHNS-SHANGAH</v>
          </cell>
          <cell r="F838">
            <v>8.0176911318838254E-3</v>
          </cell>
          <cell r="G838">
            <v>2.0048590699542627E-2</v>
          </cell>
          <cell r="H838">
            <v>3.1022916318912009E-2</v>
          </cell>
          <cell r="I838">
            <v>4.0578526878817883E-2</v>
          </cell>
          <cell r="J838">
            <v>4.6312921503121926E-2</v>
          </cell>
        </row>
        <row r="839">
          <cell r="A839" t="str">
            <v>RHNS-SHSTG-NGAHP</v>
          </cell>
          <cell r="B839" t="str">
            <v>VAR_fout</v>
          </cell>
          <cell r="C839" t="str">
            <v>AUX_RHNS-SHSTG-NGAHP_OUT</v>
          </cell>
          <cell r="F839">
            <v>8.0257088230157019E-3</v>
          </cell>
          <cell r="G839">
            <v>2.0068639290242184E-2</v>
          </cell>
          <cell r="H839">
            <v>3.1053939235230914E-2</v>
          </cell>
          <cell r="I839">
            <v>4.0619105405696694E-2</v>
          </cell>
          <cell r="J839">
            <v>4.6359234424624994E-2</v>
          </cell>
        </row>
        <row r="840">
          <cell r="A840" t="str">
            <v>RHNS-SHSTG-NGAHP</v>
          </cell>
          <cell r="B840" t="str">
            <v>VAR_fin</v>
          </cell>
          <cell r="C840" t="str">
            <v>RHNS-SHANGAH</v>
          </cell>
          <cell r="F840">
            <v>8.0359783931125538E-3</v>
          </cell>
          <cell r="G840">
            <v>2.0067546345404037E-2</v>
          </cell>
          <cell r="H840">
            <v>3.1036141968520194E-2</v>
          </cell>
          <cell r="I840">
            <v>4.0588476609959623E-2</v>
          </cell>
          <cell r="J840">
            <v>4.6322627303382789E-2</v>
          </cell>
        </row>
        <row r="841">
          <cell r="A841" t="str">
            <v>RHNS-SHSTG-NGAHP</v>
          </cell>
          <cell r="B841" t="str">
            <v>VAR_ncap</v>
          </cell>
          <cell r="C841" t="str">
            <v>-</v>
          </cell>
          <cell r="D841">
            <v>9.6072670864656603E-6</v>
          </cell>
          <cell r="E841">
            <v>9.9803407434993506E-6</v>
          </cell>
          <cell r="F841">
            <v>2.4109921388173099E-3</v>
          </cell>
          <cell r="G841">
            <v>3.5088702225825E-3</v>
          </cell>
          <cell r="H841">
            <v>2.64020708158516E-3</v>
          </cell>
          <cell r="I841">
            <v>5.2757524806433904E-3</v>
          </cell>
          <cell r="J841">
            <v>7.7874824219056503E-3</v>
          </cell>
        </row>
        <row r="842">
          <cell r="A842" t="str">
            <v>RHNS-SHSTG-NGAHP</v>
          </cell>
          <cell r="B842" t="str">
            <v>VAR_cap</v>
          </cell>
          <cell r="C842" t="str">
            <v>-</v>
          </cell>
          <cell r="D842">
            <v>9.6072670864656603E-6</v>
          </cell>
          <cell r="E842">
            <v>6.0398301096480065E-7</v>
          </cell>
          <cell r="F842">
            <v>2.4052748949147306E-3</v>
          </cell>
          <cell r="G842">
            <v>5.9054292530356586E-3</v>
          </cell>
          <cell r="H842">
            <v>8.5119259555354616E-3</v>
          </cell>
          <cell r="I842">
            <v>1.0676731512269342E-2</v>
          </cell>
          <cell r="J842">
            <v>1.26918155001407E-2</v>
          </cell>
        </row>
        <row r="843">
          <cell r="A843" t="str">
            <v>RHNS-SHLTHDH</v>
          </cell>
          <cell r="B843" t="str">
            <v>VAR_fout</v>
          </cell>
          <cell r="C843" t="str">
            <v>RHNS-SHLTHD</v>
          </cell>
          <cell r="E843">
            <v>5.3916051974756296E-2</v>
          </cell>
          <cell r="F843">
            <v>2.9428278719664473E-3</v>
          </cell>
          <cell r="G843">
            <v>0.1138199815659616</v>
          </cell>
          <cell r="H843">
            <v>0.11686246893129257</v>
          </cell>
          <cell r="I843">
            <v>0.12151897521971572</v>
          </cell>
          <cell r="J843">
            <v>0.13088595659393482</v>
          </cell>
        </row>
        <row r="844">
          <cell r="A844" t="str">
            <v>RHNS-SHLTHDH</v>
          </cell>
          <cell r="B844" t="str">
            <v>VAR_fin</v>
          </cell>
          <cell r="C844" t="str">
            <v>RHNS_LTH_DH</v>
          </cell>
          <cell r="E844">
            <v>5.4460658560359837E-2</v>
          </cell>
          <cell r="F844">
            <v>3.2547254699714862E-3</v>
          </cell>
          <cell r="G844">
            <v>0.12518967775989948</v>
          </cell>
          <cell r="H844">
            <v>0.12851589873115765</v>
          </cell>
          <cell r="I844">
            <v>0.13359449613595969</v>
          </cell>
          <cell r="J844">
            <v>0.14389228835105308</v>
          </cell>
        </row>
        <row r="845">
          <cell r="A845" t="str">
            <v>RHNS-SHLTHDH</v>
          </cell>
          <cell r="B845" t="str">
            <v>VAR_fin</v>
          </cell>
          <cell r="C845" t="str">
            <v>RHNSLTHDHC</v>
          </cell>
          <cell r="E845">
            <v>5.3916051974756296E-2</v>
          </cell>
          <cell r="F845">
            <v>2.9428278719664473E-3</v>
          </cell>
          <cell r="G845">
            <v>0.1138199815659616</v>
          </cell>
          <cell r="H845">
            <v>0.11686246893129257</v>
          </cell>
          <cell r="I845">
            <v>0.12151897521971572</v>
          </cell>
          <cell r="J845">
            <v>0.13088595659393482</v>
          </cell>
        </row>
        <row r="846">
          <cell r="A846" t="str">
            <v>RHNS-SHLTHDH</v>
          </cell>
          <cell r="B846" t="str">
            <v>VAR_ncap</v>
          </cell>
          <cell r="C846" t="str">
            <v>-</v>
          </cell>
          <cell r="E846">
            <v>6.4009918252365501E-3</v>
          </cell>
          <cell r="F846">
            <v>1.35109099454998E-2</v>
          </cell>
          <cell r="G846">
            <v>6.4815383027081001E-3</v>
          </cell>
          <cell r="H846">
            <v>1.16303420783985E-2</v>
          </cell>
          <cell r="I846">
            <v>1.6967326190060299E-2</v>
          </cell>
          <cell r="J846">
            <v>5.1844476817436399E-3</v>
          </cell>
        </row>
        <row r="847">
          <cell r="A847" t="str">
            <v>RHNS-SHLTHDH</v>
          </cell>
          <cell r="B847" t="str">
            <v>VAR_cap</v>
          </cell>
          <cell r="C847" t="str">
            <v>-</v>
          </cell>
          <cell r="E847">
            <v>6.4009918252365501E-3</v>
          </cell>
          <cell r="F847">
            <v>1.7493964634364312E-2</v>
          </cell>
          <cell r="G847">
            <v>1.2437543927633301E-2</v>
          </cell>
          <cell r="H847">
            <v>1.9540200114857798E-2</v>
          </cell>
          <cell r="I847">
            <v>2.9097135120232397E-2</v>
          </cell>
          <cell r="J847">
            <v>1.73562432357518E-2</v>
          </cell>
        </row>
        <row r="848">
          <cell r="A848" t="str">
            <v>ITOT-SWHNGAHP</v>
          </cell>
          <cell r="B848" t="str">
            <v>VAR_fout</v>
          </cell>
          <cell r="C848" t="str">
            <v>ITOT-SWHANGAH</v>
          </cell>
          <cell r="F848">
            <v>1.5660903292703202E-2</v>
          </cell>
          <cell r="G848">
            <v>8.4161358728433965E-3</v>
          </cell>
          <cell r="H848">
            <v>6.1390827089576709E-3</v>
          </cell>
          <cell r="I848">
            <v>1.8184499274922115E-3</v>
          </cell>
          <cell r="J848">
            <v>2.8713800983217481E-3</v>
          </cell>
        </row>
        <row r="849">
          <cell r="A849" t="str">
            <v>ITOT-SWHNGAHP</v>
          </cell>
          <cell r="B849" t="str">
            <v>VAR_fout</v>
          </cell>
          <cell r="C849" t="str">
            <v>CO2_I</v>
          </cell>
          <cell r="F849">
            <v>0.46847548419257501</v>
          </cell>
          <cell r="G849">
            <v>0.24693333082313901</v>
          </cell>
          <cell r="H849">
            <v>0.176736758087536</v>
          </cell>
          <cell r="I849">
            <v>5.13848077299872E-2</v>
          </cell>
          <cell r="J849">
            <v>7.8249682487689598E-2</v>
          </cell>
        </row>
        <row r="850">
          <cell r="A850" t="str">
            <v>ITOT-SWHNGAHP</v>
          </cell>
          <cell r="B850" t="str">
            <v>VAR_fin</v>
          </cell>
          <cell r="C850" t="str">
            <v>ITOTELCHPC</v>
          </cell>
          <cell r="F850">
            <v>1.5660903292703202E-2</v>
          </cell>
          <cell r="G850">
            <v>8.4161358728433965E-3</v>
          </cell>
          <cell r="H850">
            <v>6.1390827089576709E-3</v>
          </cell>
          <cell r="I850">
            <v>1.8184499274922115E-3</v>
          </cell>
          <cell r="J850">
            <v>2.8713800983217481E-3</v>
          </cell>
        </row>
        <row r="851">
          <cell r="A851" t="str">
            <v>ITOT-SWHNGAHP</v>
          </cell>
          <cell r="B851" t="str">
            <v>VAR_fin</v>
          </cell>
          <cell r="C851" t="str">
            <v>INGA</v>
          </cell>
          <cell r="F851">
            <v>8.3063029112158682E-3</v>
          </cell>
          <cell r="G851">
            <v>4.3782505465095652E-3</v>
          </cell>
          <cell r="H851">
            <v>3.1336304625449673E-3</v>
          </cell>
          <cell r="I851">
            <v>9.1107815124090864E-4</v>
          </cell>
          <cell r="J851">
            <v>1.3874057178668395E-3</v>
          </cell>
        </row>
        <row r="852">
          <cell r="A852" t="str">
            <v>ITOT-SWHNGAHP</v>
          </cell>
          <cell r="B852" t="str">
            <v>VAR_ncap</v>
          </cell>
          <cell r="C852" t="str">
            <v>-</v>
          </cell>
          <cell r="E852">
            <v>9.7133817027765805E-4</v>
          </cell>
          <cell r="F852">
            <v>2.1475374880978999E-5</v>
          </cell>
          <cell r="G852">
            <v>2.31294471658885E-6</v>
          </cell>
          <cell r="H852">
            <v>1.38163676754866E-4</v>
          </cell>
          <cell r="I852">
            <v>4.92537645679171E-5</v>
          </cell>
          <cell r="J852">
            <v>1.9079196469021001E-4</v>
          </cell>
        </row>
        <row r="853">
          <cell r="A853" t="str">
            <v>ITOT-SWHNGAHP</v>
          </cell>
          <cell r="B853" t="str">
            <v>VAR_cap</v>
          </cell>
          <cell r="C853" t="str">
            <v>-</v>
          </cell>
          <cell r="E853">
            <v>9.7133817027765805E-4</v>
          </cell>
          <cell r="F853">
            <v>9.9196913784992537E-4</v>
          </cell>
          <cell r="G853">
            <v>8.9223614199333888E-4</v>
          </cell>
          <cell r="H853">
            <v>6.0412951478542199E-4</v>
          </cell>
          <cell r="I853">
            <v>1.8968857278092556E-4</v>
          </cell>
          <cell r="J853">
            <v>2.8278081130760009E-4</v>
          </cell>
        </row>
        <row r="854">
          <cell r="A854" t="str">
            <v>RHSA-WHLFOBR</v>
          </cell>
          <cell r="B854" t="str">
            <v>VAR_fout</v>
          </cell>
          <cell r="C854" t="str">
            <v>CO2_R</v>
          </cell>
          <cell r="D854">
            <v>726.71284486565105</v>
          </cell>
          <cell r="E854">
            <v>572.18634284208304</v>
          </cell>
          <cell r="F854">
            <v>653.46470614180998</v>
          </cell>
          <cell r="G854">
            <v>271.14925654761601</v>
          </cell>
          <cell r="H854">
            <v>173.750049925761</v>
          </cell>
          <cell r="I854">
            <v>79.1486425123462</v>
          </cell>
          <cell r="J854">
            <v>3.9974889292026998</v>
          </cell>
        </row>
        <row r="855">
          <cell r="A855" t="str">
            <v>RHSA-WHLFOBR</v>
          </cell>
          <cell r="B855" t="str">
            <v>VAR_fout</v>
          </cell>
          <cell r="C855" t="str">
            <v>RHSA-WHLFO</v>
          </cell>
          <cell r="D855">
            <v>6.9844631177725303</v>
          </cell>
          <cell r="E855">
            <v>5.5478266506907028</v>
          </cell>
          <cell r="F855">
            <v>4.4460751673001937</v>
          </cell>
          <cell r="G855">
            <v>1.9705491751106967</v>
          </cell>
          <cell r="H855">
            <v>1.294268868078682</v>
          </cell>
          <cell r="I855">
            <v>0.59659826389175186</v>
          </cell>
          <cell r="J855">
            <v>3.1767781283891697E-2</v>
          </cell>
        </row>
        <row r="856">
          <cell r="A856" t="str">
            <v>RHSA-WHLFOBR</v>
          </cell>
          <cell r="B856" t="str">
            <v>VAR_fin</v>
          </cell>
          <cell r="C856" t="str">
            <v>RLFO</v>
          </cell>
          <cell r="D856">
            <v>9.8604185192082916</v>
          </cell>
          <cell r="E856">
            <v>7.7637224266225653</v>
          </cell>
          <cell r="F856">
            <v>8.8665496084370403</v>
          </cell>
          <cell r="G856">
            <v>3.6790943900626281</v>
          </cell>
          <cell r="H856">
            <v>2.357531206591057</v>
          </cell>
          <cell r="I856">
            <v>1.0739300205203013</v>
          </cell>
          <cell r="J856">
            <v>5.4240012607906375E-2</v>
          </cell>
        </row>
        <row r="857">
          <cell r="A857" t="str">
            <v>RHSA-WHLFOBR</v>
          </cell>
          <cell r="B857" t="str">
            <v>VAR_ncap</v>
          </cell>
          <cell r="C857" t="str">
            <v>-</v>
          </cell>
          <cell r="E857">
            <v>2.6597017316000101E-7</v>
          </cell>
          <cell r="F857">
            <v>1.09617888352669E-7</v>
          </cell>
          <cell r="G857">
            <v>2.6816396598105598E-7</v>
          </cell>
          <cell r="H857">
            <v>1.97922079931248E-2</v>
          </cell>
          <cell r="I857">
            <v>2.0995199121984501E-2</v>
          </cell>
        </row>
        <row r="858">
          <cell r="A858" t="str">
            <v>RHSA-WHLFOBR</v>
          </cell>
          <cell r="B858" t="str">
            <v>VAR_cap</v>
          </cell>
          <cell r="C858" t="str">
            <v>-</v>
          </cell>
          <cell r="D858">
            <v>0.47738433216181703</v>
          </cell>
          <cell r="E858">
            <v>0.45664987800940071</v>
          </cell>
          <cell r="F858">
            <v>0.31381645604129649</v>
          </cell>
          <cell r="G858">
            <v>0.26559217311397654</v>
          </cell>
          <cell r="H858">
            <v>8.86680216715241E-2</v>
          </cell>
          <cell r="I858">
            <v>4.0787179072133951E-2</v>
          </cell>
          <cell r="J858">
            <v>3.0782320720881967E-3</v>
          </cell>
        </row>
        <row r="859">
          <cell r="A859" t="str">
            <v>D-IWST</v>
          </cell>
          <cell r="B859" t="str">
            <v>VAR_fout</v>
          </cell>
          <cell r="C859" t="str">
            <v>CO2</v>
          </cell>
          <cell r="D859">
            <v>1068.1291315492399</v>
          </cell>
          <cell r="E859">
            <v>1094.4820032473399</v>
          </cell>
          <cell r="F859">
            <v>1024.6416240333299</v>
          </cell>
          <cell r="G859">
            <v>1013.19800689907</v>
          </cell>
          <cell r="H859">
            <v>1001.75490512926</v>
          </cell>
          <cell r="I859">
            <v>996.69888380977397</v>
          </cell>
          <cell r="J859">
            <v>986.58530354920902</v>
          </cell>
        </row>
        <row r="860">
          <cell r="A860" t="str">
            <v>D-IWST</v>
          </cell>
          <cell r="B860" t="str">
            <v>VAR_fout</v>
          </cell>
          <cell r="C860" t="str">
            <v>IWST</v>
          </cell>
          <cell r="D860">
            <v>11.510012193418563</v>
          </cell>
          <cell r="E860">
            <v>11.793987103958369</v>
          </cell>
          <cell r="F860">
            <v>11.041396810704025</v>
          </cell>
          <cell r="G860">
            <v>10.918081970895134</v>
          </cell>
          <cell r="H860">
            <v>10.794772684582588</v>
          </cell>
          <cell r="I860">
            <v>10.740289696226014</v>
          </cell>
          <cell r="J860">
            <v>10.631307150314758</v>
          </cell>
        </row>
        <row r="861">
          <cell r="A861" t="str">
            <v>D-IWST</v>
          </cell>
          <cell r="B861" t="str">
            <v>VAR_fin</v>
          </cell>
          <cell r="C861" t="str">
            <v>WSTNREN</v>
          </cell>
          <cell r="D861">
            <v>11.510012193418563</v>
          </cell>
          <cell r="E861">
            <v>11.793987103958369</v>
          </cell>
          <cell r="F861">
            <v>11.041396810704025</v>
          </cell>
          <cell r="G861">
            <v>10.918081970895134</v>
          </cell>
          <cell r="H861">
            <v>10.794772684582588</v>
          </cell>
          <cell r="I861">
            <v>10.740289696226014</v>
          </cell>
          <cell r="J861">
            <v>10.631307150314758</v>
          </cell>
        </row>
        <row r="862">
          <cell r="A862" t="str">
            <v>RHES-SHLFOBR</v>
          </cell>
          <cell r="B862" t="str">
            <v>VAR_fout</v>
          </cell>
          <cell r="C862" t="str">
            <v>CO2_R</v>
          </cell>
          <cell r="D862">
            <v>1783.66299386737</v>
          </cell>
          <cell r="E862">
            <v>1640.9695979047301</v>
          </cell>
          <cell r="F862">
            <v>1234.0232822601499</v>
          </cell>
          <cell r="G862">
            <v>572.09200834434603</v>
          </cell>
          <cell r="H862">
            <v>331.40918607906701</v>
          </cell>
          <cell r="I862">
            <v>105.282806036257</v>
          </cell>
          <cell r="J862">
            <v>10.662159309021</v>
          </cell>
        </row>
        <row r="863">
          <cell r="A863" t="str">
            <v>RHES-SHLFOBR</v>
          </cell>
          <cell r="B863" t="str">
            <v>VAR_fout</v>
          </cell>
          <cell r="C863" t="str">
            <v>RHES-SHLFO</v>
          </cell>
          <cell r="D863">
            <v>21.680661673534829</v>
          </cell>
          <cell r="E863">
            <v>19.946204406915331</v>
          </cell>
          <cell r="F863">
            <v>14.226717102551181</v>
          </cell>
          <cell r="G863">
            <v>6.7064093692700233</v>
          </cell>
          <cell r="H863">
            <v>3.8871847972940827</v>
          </cell>
          <cell r="I863">
            <v>1.2323658725592934</v>
          </cell>
          <cell r="J863">
            <v>0.1251508928038364</v>
          </cell>
        </row>
        <row r="864">
          <cell r="A864" t="str">
            <v>RHES-SHLFOBR</v>
          </cell>
          <cell r="B864" t="str">
            <v>VAR_fin</v>
          </cell>
          <cell r="C864" t="str">
            <v>RLFO</v>
          </cell>
          <cell r="D864">
            <v>24.201668844876082</v>
          </cell>
          <cell r="E864">
            <v>22.265530500742688</v>
          </cell>
          <cell r="F864">
            <v>16.743870858346661</v>
          </cell>
          <cell r="G864">
            <v>7.7624424470060456</v>
          </cell>
          <cell r="H864">
            <v>4.4967325112492214</v>
          </cell>
          <cell r="I864">
            <v>1.4285319679275086</v>
          </cell>
          <cell r="J864">
            <v>0.14466973282253731</v>
          </cell>
        </row>
        <row r="865">
          <cell r="A865" t="str">
            <v>RHES-SHLFOBR</v>
          </cell>
          <cell r="B865" t="str">
            <v>VAR_ncap</v>
          </cell>
          <cell r="C865" t="str">
            <v>-</v>
          </cell>
          <cell r="E865">
            <v>1.2987962466568299E-7</v>
          </cell>
          <cell r="F865">
            <v>8.5712835882811094E-8</v>
          </cell>
          <cell r="G865">
            <v>1.96224322095201E-7</v>
          </cell>
          <cell r="H865">
            <v>2.18343016326214E-3</v>
          </cell>
          <cell r="I865">
            <v>9.7393881502469401E-2</v>
          </cell>
          <cell r="J865">
            <v>8.3407549379078498E-8</v>
          </cell>
        </row>
        <row r="866">
          <cell r="A866" t="str">
            <v>RHES-SHLFOBR</v>
          </cell>
          <cell r="B866" t="str">
            <v>VAR_cap</v>
          </cell>
          <cell r="C866" t="str">
            <v>-</v>
          </cell>
          <cell r="D866">
            <v>1.7515307393373001</v>
          </cell>
          <cell r="E866">
            <v>1.751436543406375</v>
          </cell>
          <cell r="F866">
            <v>1.2033270873865887</v>
          </cell>
          <cell r="G866">
            <v>1.2031485053159847</v>
          </cell>
          <cell r="H866">
            <v>0.31420053007036441</v>
          </cell>
          <cell r="I866">
            <v>9.9577213561568789E-2</v>
          </cell>
          <cell r="J866">
            <v>1.5180147252512106E-2</v>
          </cell>
        </row>
        <row r="867">
          <cell r="A867" t="str">
            <v>ITOT-SWHSTG</v>
          </cell>
          <cell r="B867" t="str">
            <v>VAR_fout</v>
          </cell>
          <cell r="C867" t="str">
            <v>ITOT-SWH</v>
          </cell>
          <cell r="D867">
            <v>9.0944223800066331E-6</v>
          </cell>
          <cell r="E867">
            <v>3.0000242218468956E-4</v>
          </cell>
          <cell r="F867">
            <v>4.1653161483253577E-3</v>
          </cell>
          <cell r="G867">
            <v>1.5713237038235009E-3</v>
          </cell>
          <cell r="H867">
            <v>3.7409771491813395E-3</v>
          </cell>
          <cell r="I867">
            <v>6.0222553847390121E-3</v>
          </cell>
          <cell r="J867">
            <v>0.52097164878079405</v>
          </cell>
        </row>
        <row r="868">
          <cell r="A868" t="str">
            <v>ITOT-SWHSTG</v>
          </cell>
          <cell r="B868" t="str">
            <v>VAR_fout</v>
          </cell>
          <cell r="C868" t="str">
            <v>AUX_ITOT-STG_OUT</v>
          </cell>
          <cell r="D868">
            <v>9.0944223800066162E-6</v>
          </cell>
          <cell r="E868">
            <v>2.9975740974249834E-4</v>
          </cell>
          <cell r="F868">
            <v>4.160003245074941E-3</v>
          </cell>
          <cell r="G868">
            <v>1.5713237038235042E-3</v>
          </cell>
          <cell r="H868">
            <v>3.7368205079044811E-3</v>
          </cell>
          <cell r="I868">
            <v>6.0222553847390182E-3</v>
          </cell>
          <cell r="J868">
            <v>0.52097164878079405</v>
          </cell>
        </row>
        <row r="869">
          <cell r="A869" t="str">
            <v>ITOT-SWHSTG</v>
          </cell>
          <cell r="B869" t="str">
            <v>VAR_fin</v>
          </cell>
          <cell r="C869" t="str">
            <v>AUX_ITOT-STG_IN</v>
          </cell>
          <cell r="D869">
            <v>1.1226029508876004E-5</v>
          </cell>
          <cell r="E869">
            <v>3.6496645191556491E-4</v>
          </cell>
          <cell r="F869">
            <v>4.9587096940528061E-3</v>
          </cell>
          <cell r="G869">
            <v>1.806119208149748E-3</v>
          </cell>
          <cell r="H869">
            <v>4.1566413013146997E-3</v>
          </cell>
          <cell r="I869">
            <v>6.475543283655549E-3</v>
          </cell>
          <cell r="J869">
            <v>0.52623399135640203</v>
          </cell>
        </row>
        <row r="870">
          <cell r="A870" t="str">
            <v>ITOT-SWHSTG</v>
          </cell>
          <cell r="B870" t="str">
            <v>VAR_fin</v>
          </cell>
          <cell r="C870" t="str">
            <v>ITOT-SWH</v>
          </cell>
          <cell r="D870">
            <v>1.1226029508876004E-5</v>
          </cell>
          <cell r="E870">
            <v>3.6496645191556491E-4</v>
          </cell>
          <cell r="F870">
            <v>4.9587096940528061E-3</v>
          </cell>
          <cell r="G870">
            <v>1.806119208149748E-3</v>
          </cell>
          <cell r="H870">
            <v>4.1566413013146997E-3</v>
          </cell>
          <cell r="I870">
            <v>6.475543283655549E-3</v>
          </cell>
          <cell r="J870">
            <v>0.52623399135640203</v>
          </cell>
        </row>
        <row r="871">
          <cell r="A871" t="str">
            <v>ITOT-SWHSTG</v>
          </cell>
          <cell r="B871" t="str">
            <v>VAR_ncap</v>
          </cell>
          <cell r="C871" t="str">
            <v>-</v>
          </cell>
          <cell r="D871">
            <v>1.0850121158595999E-3</v>
          </cell>
          <cell r="E871">
            <v>5.02716345238762E-6</v>
          </cell>
          <cell r="F871">
            <v>6.5055603073341902E-6</v>
          </cell>
          <cell r="G871">
            <v>4.5241205174498298E-6</v>
          </cell>
          <cell r="H871">
            <v>1.41318263623321E-3</v>
          </cell>
          <cell r="I871">
            <v>2.6059698477542601E-4</v>
          </cell>
          <cell r="J871">
            <v>0.105164283340219</v>
          </cell>
        </row>
        <row r="872">
          <cell r="A872" t="str">
            <v>ITOT-SWHSTG</v>
          </cell>
          <cell r="B872" t="str">
            <v>VAR_cap</v>
          </cell>
          <cell r="C872" t="str">
            <v>-</v>
          </cell>
          <cell r="D872">
            <v>1.0850121158595999E-3</v>
          </cell>
          <cell r="E872">
            <v>1.0891707553708446E-3</v>
          </cell>
          <cell r="F872">
            <v>1.0943258458162687E-3</v>
          </cell>
          <cell r="G872">
            <v>1.0956532953017063E-3</v>
          </cell>
          <cell r="H872">
            <v>1.6982969606437423E-3</v>
          </cell>
          <cell r="I872">
            <v>1.6736566825455805E-3</v>
          </cell>
          <cell r="J872">
            <v>0.10594544650268006</v>
          </cell>
        </row>
        <row r="873">
          <cell r="A873" t="str">
            <v>SCOM-SHLFOBR</v>
          </cell>
          <cell r="B873" t="str">
            <v>VAR_fout</v>
          </cell>
          <cell r="C873" t="str">
            <v>CO2_S</v>
          </cell>
          <cell r="D873">
            <v>2229.9140321473001</v>
          </cell>
          <cell r="E873">
            <v>1968.6716172044701</v>
          </cell>
          <cell r="F873">
            <v>1845.0739549503501</v>
          </cell>
          <cell r="G873">
            <v>970.39032260615602</v>
          </cell>
          <cell r="H873">
            <v>659.259206792334</v>
          </cell>
          <cell r="I873">
            <v>266.58067829110303</v>
          </cell>
          <cell r="J873">
            <v>15.0133402484519</v>
          </cell>
        </row>
        <row r="874">
          <cell r="A874" t="str">
            <v>SCOM-SHLFOBR</v>
          </cell>
          <cell r="B874" t="str">
            <v>VAR_fout</v>
          </cell>
          <cell r="C874" t="str">
            <v>SCOM-SHLFO</v>
          </cell>
          <cell r="D874">
            <v>24.843070768129444</v>
          </cell>
          <cell r="E874">
            <v>21.976046979083062</v>
          </cell>
          <cell r="F874">
            <v>19.733985705602667</v>
          </cell>
          <cell r="G874">
            <v>10.756635263478749</v>
          </cell>
          <cell r="H874">
            <v>7.3077922010909955</v>
          </cell>
          <cell r="I874">
            <v>2.9550079569702912</v>
          </cell>
          <cell r="J874">
            <v>0.16858314458250667</v>
          </cell>
        </row>
        <row r="875">
          <cell r="A875" t="str">
            <v>SCOM-SHLFOBR</v>
          </cell>
          <cell r="B875" t="str">
            <v>VAR_fin</v>
          </cell>
          <cell r="C875" t="str">
            <v>SLFO</v>
          </cell>
          <cell r="D875">
            <v>30.256635442975568</v>
          </cell>
          <cell r="E875">
            <v>26.711962241580274</v>
          </cell>
          <cell r="F875">
            <v>25.03492476187715</v>
          </cell>
          <cell r="G875">
            <v>13.166761500761947</v>
          </cell>
          <cell r="H875">
            <v>8.9451724123790193</v>
          </cell>
          <cell r="I875">
            <v>3.6171055399064209</v>
          </cell>
          <cell r="J875">
            <v>0.20370882290979564</v>
          </cell>
        </row>
        <row r="876">
          <cell r="A876" t="str">
            <v>SCOM-SHLFOBR</v>
          </cell>
          <cell r="B876" t="str">
            <v>VAR_ncap</v>
          </cell>
          <cell r="C876" t="str">
            <v>-</v>
          </cell>
          <cell r="D876">
            <v>1.11968220439749E-6</v>
          </cell>
          <cell r="E876">
            <v>1.1719577596396599E-6</v>
          </cell>
          <cell r="F876">
            <v>6.13469337980842E-7</v>
          </cell>
          <cell r="G876">
            <v>1.08868371249414E-6</v>
          </cell>
          <cell r="H876">
            <v>0.229786016087239</v>
          </cell>
          <cell r="I876">
            <v>5.4784272128329298E-6</v>
          </cell>
          <cell r="J876">
            <v>3.1091381455987098E-7</v>
          </cell>
        </row>
        <row r="877">
          <cell r="A877" t="str">
            <v>SCOM-SHLFOBR</v>
          </cell>
          <cell r="B877" t="str">
            <v>VAR_cap</v>
          </cell>
          <cell r="C877" t="str">
            <v>-</v>
          </cell>
          <cell r="D877">
            <v>1.9285747769073243</v>
          </cell>
          <cell r="E877">
            <v>1.8774624883231941</v>
          </cell>
          <cell r="F877">
            <v>1.5371967315702579</v>
          </cell>
          <cell r="G877">
            <v>1.5370811812591674</v>
          </cell>
          <cell r="H877">
            <v>0.62840344896020806</v>
          </cell>
          <cell r="I877">
            <v>0.22979146636364747</v>
          </cell>
          <cell r="J877">
            <v>2.8610829730717297E-2</v>
          </cell>
        </row>
        <row r="878">
          <cell r="A878" t="str">
            <v>RHNM-SHPLTBR</v>
          </cell>
          <cell r="B878" t="str">
            <v>VAR_fout</v>
          </cell>
          <cell r="C878" t="str">
            <v>RHNM-SHPLT</v>
          </cell>
          <cell r="E878">
            <v>7.3539899235165962E-2</v>
          </cell>
          <cell r="F878">
            <v>1.3073144034441228E-2</v>
          </cell>
          <cell r="G878">
            <v>3.0208038888337976E-2</v>
          </cell>
          <cell r="H878">
            <v>3.4942558448335881E-2</v>
          </cell>
          <cell r="I878">
            <v>3.9752318262793185E-2</v>
          </cell>
          <cell r="J878">
            <v>4.4600646450904495E-2</v>
          </cell>
        </row>
        <row r="879">
          <cell r="A879" t="str">
            <v>RHNM-SHPLTBR</v>
          </cell>
          <cell r="B879" t="str">
            <v>VAR_fin</v>
          </cell>
          <cell r="C879" t="str">
            <v>RPLT</v>
          </cell>
          <cell r="E879">
            <v>8.1710999150184468E-2</v>
          </cell>
          <cell r="F879">
            <v>1.7590638240531933E-2</v>
          </cell>
          <cell r="G879">
            <v>3.9924491450429533E-2</v>
          </cell>
          <cell r="H879">
            <v>4.5978248306302288E-2</v>
          </cell>
          <cell r="I879">
            <v>5.1991180869567423E-2</v>
          </cell>
          <cell r="J879">
            <v>5.8332202444126645E-2</v>
          </cell>
        </row>
        <row r="880">
          <cell r="A880" t="str">
            <v>RHNM-SHPLTBR</v>
          </cell>
          <cell r="B880" t="str">
            <v>VAR_fin</v>
          </cell>
          <cell r="C880" t="str">
            <v>RHNMPLTBRC</v>
          </cell>
          <cell r="E880">
            <v>7.3539899235165962E-2</v>
          </cell>
          <cell r="F880">
            <v>1.3073144034441228E-2</v>
          </cell>
          <cell r="G880">
            <v>3.0208038888337976E-2</v>
          </cell>
          <cell r="H880">
            <v>3.4942558448335881E-2</v>
          </cell>
          <cell r="I880">
            <v>3.9752318262793185E-2</v>
          </cell>
          <cell r="J880">
            <v>4.4600646450904495E-2</v>
          </cell>
        </row>
        <row r="881">
          <cell r="A881" t="str">
            <v>RHNM-SHPLTBR</v>
          </cell>
          <cell r="B881" t="str">
            <v>VAR_ncap</v>
          </cell>
          <cell r="C881" t="str">
            <v>-</v>
          </cell>
          <cell r="E881">
            <v>5.7777286903495E-3</v>
          </cell>
          <cell r="F881">
            <v>1.9836212360868301E-6</v>
          </cell>
          <cell r="G881">
            <v>7.1122116034777504E-6</v>
          </cell>
          <cell r="H881">
            <v>2.4920728495485899E-5</v>
          </cell>
          <cell r="I881">
            <v>3.1066813011405001E-3</v>
          </cell>
          <cell r="J881">
            <v>1.2296192810603401E-3</v>
          </cell>
        </row>
        <row r="882">
          <cell r="A882" t="str">
            <v>RHNM-SHPLTBR</v>
          </cell>
          <cell r="B882" t="str">
            <v>VAR_cap</v>
          </cell>
          <cell r="C882" t="str">
            <v>-</v>
          </cell>
          <cell r="E882">
            <v>5.7777286903495E-3</v>
          </cell>
          <cell r="F882">
            <v>5.7743528360461316E-3</v>
          </cell>
          <cell r="G882">
            <v>5.7781901791349169E-3</v>
          </cell>
          <cell r="H882">
            <v>2.9881463972865384E-3</v>
          </cell>
          <cell r="I882">
            <v>3.1362697088843212E-3</v>
          </cell>
          <cell r="J882">
            <v>3.494542082735197E-3</v>
          </cell>
        </row>
        <row r="883">
          <cell r="A883" t="str">
            <v>D-RHES_NKEV_GAS_ELC_CHP</v>
          </cell>
          <cell r="B883" t="str">
            <v>VAR_fout</v>
          </cell>
          <cell r="C883" t="str">
            <v>RHES_ELC</v>
          </cell>
          <cell r="D883">
            <v>1.3615606770136755E-2</v>
          </cell>
          <cell r="E883">
            <v>1.7688112884471563E-3</v>
          </cell>
          <cell r="F883">
            <v>5.9056323998836653E-3</v>
          </cell>
        </row>
        <row r="884">
          <cell r="A884" t="str">
            <v>D-RHES_NKEV_GAS_ELC_CHP</v>
          </cell>
          <cell r="B884" t="str">
            <v>VAR_fout</v>
          </cell>
          <cell r="C884" t="str">
            <v>ELC5</v>
          </cell>
          <cell r="D884">
            <v>2.5825938244625462E-3</v>
          </cell>
          <cell r="E884">
            <v>5.6703533657264597E-4</v>
          </cell>
          <cell r="F884">
            <v>1.3176232572941994E-3</v>
          </cell>
        </row>
        <row r="885">
          <cell r="A885" t="str">
            <v>D-RHES_NKEV_GAS_ELC_CHP</v>
          </cell>
          <cell r="B885" t="str">
            <v>VAR_fin</v>
          </cell>
          <cell r="C885" t="str">
            <v>RHES_NKEV_GAS_ELC_CHP</v>
          </cell>
          <cell r="D885">
            <v>1.6198200594599303E-2</v>
          </cell>
          <cell r="E885">
            <v>2.3358466250198028E-3</v>
          </cell>
          <cell r="F885">
            <v>7.2187117697069449E-3</v>
          </cell>
        </row>
        <row r="886">
          <cell r="A886" t="str">
            <v>SCOM-SHSTG-SOL</v>
          </cell>
          <cell r="B886" t="str">
            <v>VAR_fout</v>
          </cell>
          <cell r="C886" t="str">
            <v>SCOM-SHASOL</v>
          </cell>
          <cell r="D886">
            <v>2.572798627514881E-5</v>
          </cell>
          <cell r="E886">
            <v>3.1543024379030064E-5</v>
          </cell>
          <cell r="F886">
            <v>2.1265295234588927E-5</v>
          </cell>
          <cell r="G886">
            <v>1.7342490516879872E-5</v>
          </cell>
          <cell r="H886">
            <v>3.1637475133169871E-5</v>
          </cell>
          <cell r="I886">
            <v>1.4338961882514916E-5</v>
          </cell>
          <cell r="J886">
            <v>1.061068331448572E-5</v>
          </cell>
        </row>
        <row r="887">
          <cell r="A887" t="str">
            <v>SCOM-SHSTG-SOL</v>
          </cell>
          <cell r="B887" t="str">
            <v>VAR_fin</v>
          </cell>
          <cell r="C887" t="str">
            <v>SCOM-SHASOL</v>
          </cell>
          <cell r="D887">
            <v>2.4419070462351707E-5</v>
          </cell>
          <cell r="E887">
            <v>3.275424425026596E-5</v>
          </cell>
          <cell r="F887">
            <v>1.8691038764437906E-5</v>
          </cell>
          <cell r="G887">
            <v>1.163778614811765E-5</v>
          </cell>
          <cell r="H887">
            <v>3.2288419627670346E-5</v>
          </cell>
          <cell r="I887">
            <v>1.2355872172774184E-5</v>
          </cell>
          <cell r="J887">
            <v>6.3069327179745416E-6</v>
          </cell>
        </row>
        <row r="888">
          <cell r="A888" t="str">
            <v>SCOM-SHSTG-SOL</v>
          </cell>
          <cell r="B888" t="str">
            <v>VAR_ncap</v>
          </cell>
          <cell r="C888" t="str">
            <v>-</v>
          </cell>
          <cell r="D888">
            <v>1.45227993900132E-2</v>
          </cell>
          <cell r="E888">
            <v>8.9704250138467195E-3</v>
          </cell>
          <cell r="F888">
            <v>7.1426191158642303E-7</v>
          </cell>
          <cell r="G888">
            <v>2.8646241661413299E-3</v>
          </cell>
          <cell r="H888">
            <v>1.94890300335618E-2</v>
          </cell>
          <cell r="I888">
            <v>1.6667267410216999E-2</v>
          </cell>
          <cell r="J888">
            <v>2.6616857627005101E-2</v>
          </cell>
        </row>
        <row r="889">
          <cell r="A889" t="str">
            <v>SCOM-SHSTG-SOL</v>
          </cell>
          <cell r="B889" t="str">
            <v>VAR_cap</v>
          </cell>
          <cell r="C889" t="str">
            <v>-</v>
          </cell>
          <cell r="D889">
            <v>1.45227993900132E-2</v>
          </cell>
          <cell r="E889">
            <v>2.34932244038599E-2</v>
          </cell>
          <cell r="F889">
            <v>2.3493938665771499E-2</v>
          </cell>
          <cell r="G889">
            <v>2.6358562831912801E-2</v>
          </cell>
          <cell r="H889">
            <v>3.0716573233404001E-2</v>
          </cell>
          <cell r="I889">
            <v>3.8112923043005897E-2</v>
          </cell>
          <cell r="J889">
            <v>4.6956607802068298E-2</v>
          </cell>
        </row>
        <row r="890">
          <cell r="A890" t="str">
            <v>RHNM-SHELCBRA</v>
          </cell>
          <cell r="B890" t="str">
            <v>VAR_fout</v>
          </cell>
          <cell r="C890" t="str">
            <v>RHNM-SHELCB</v>
          </cell>
          <cell r="E890">
            <v>0.15439017791336135</v>
          </cell>
          <cell r="F890">
            <v>7.5968509418945546E-4</v>
          </cell>
          <cell r="G890">
            <v>1.5897485636182642E-3</v>
          </cell>
          <cell r="H890">
            <v>1.6993096764597005E-3</v>
          </cell>
          <cell r="I890">
            <v>1.860301494757305E-3</v>
          </cell>
          <cell r="J890">
            <v>1.6069840609014309E-3</v>
          </cell>
        </row>
        <row r="891">
          <cell r="A891" t="str">
            <v>RHNM-SHELCBRA</v>
          </cell>
          <cell r="B891" t="str">
            <v>VAR_fin</v>
          </cell>
          <cell r="C891" t="str">
            <v>RHNM-SHAELCB</v>
          </cell>
          <cell r="E891">
            <v>0.15439017791336135</v>
          </cell>
          <cell r="F891">
            <v>7.5968509418945546E-4</v>
          </cell>
          <cell r="G891">
            <v>1.5897485636182642E-3</v>
          </cell>
          <cell r="H891">
            <v>1.6993096764597005E-3</v>
          </cell>
          <cell r="I891">
            <v>1.860301494757305E-3</v>
          </cell>
          <cell r="J891">
            <v>1.6069840609014309E-3</v>
          </cell>
        </row>
        <row r="892">
          <cell r="A892" t="str">
            <v>RHNM-SHELCBRA</v>
          </cell>
          <cell r="B892" t="str">
            <v>VAR_ncap</v>
          </cell>
          <cell r="C892" t="str">
            <v>-</v>
          </cell>
          <cell r="E892">
            <v>1.21836433025565E-2</v>
          </cell>
          <cell r="H892">
            <v>9.1460758044912204E-4</v>
          </cell>
        </row>
        <row r="893">
          <cell r="A893" t="str">
            <v>RHNM-SHELCBRA</v>
          </cell>
          <cell r="B893" t="str">
            <v>VAR_cap</v>
          </cell>
          <cell r="C893" t="str">
            <v>-</v>
          </cell>
          <cell r="E893">
            <v>1.21836433025565E-2</v>
          </cell>
          <cell r="F893">
            <v>1.205098704149846E-2</v>
          </cell>
          <cell r="G893">
            <v>1.1761755536303875E-2</v>
          </cell>
          <cell r="H893">
            <v>6.8598559627852419E-3</v>
          </cell>
          <cell r="I893">
            <v>8.6329526225404826E-4</v>
          </cell>
          <cell r="J893">
            <v>3.6457672060042604E-4</v>
          </cell>
        </row>
        <row r="894">
          <cell r="A894" t="str">
            <v>RHNM-SHSTG-SOL</v>
          </cell>
          <cell r="B894" t="str">
            <v>VAR_fout</v>
          </cell>
          <cell r="C894" t="str">
            <v>AUX_RHNM-SHSTG-SOL_OUT</v>
          </cell>
          <cell r="E894">
            <v>8.3312225440760712E-4</v>
          </cell>
          <cell r="F894">
            <v>1.3766287637058409E-5</v>
          </cell>
          <cell r="G894">
            <v>4.8400740959934011E-5</v>
          </cell>
          <cell r="H894">
            <v>5.1465504685643574E-5</v>
          </cell>
          <cell r="I894">
            <v>6.0215417560786578E-5</v>
          </cell>
          <cell r="J894">
            <v>8.7223022208826075E-5</v>
          </cell>
        </row>
        <row r="895">
          <cell r="A895" t="str">
            <v>RHNM-SHSTG-SOL</v>
          </cell>
          <cell r="B895" t="str">
            <v>VAR_fout</v>
          </cell>
          <cell r="C895" t="str">
            <v>RHNM-SHASOL</v>
          </cell>
          <cell r="E895">
            <v>8.3228996444316362E-4</v>
          </cell>
          <cell r="F895">
            <v>1.3752535101956449E-5</v>
          </cell>
          <cell r="G895">
            <v>4.8352388571362648E-5</v>
          </cell>
          <cell r="H895">
            <v>5.1414090595048518E-5</v>
          </cell>
          <cell r="I895">
            <v>6.0155262298488088E-5</v>
          </cell>
          <cell r="J895">
            <v>8.7135886322503616E-5</v>
          </cell>
        </row>
        <row r="896">
          <cell r="A896" t="str">
            <v>RHNM-SHSTG-SOL</v>
          </cell>
          <cell r="B896" t="str">
            <v>VAR_fin</v>
          </cell>
          <cell r="C896" t="str">
            <v>RHNM-SHASOL</v>
          </cell>
          <cell r="E896">
            <v>8.2322494027978156E-4</v>
          </cell>
          <cell r="F896">
            <v>1.6486752329308275E-5</v>
          </cell>
          <cell r="G896">
            <v>4.7973606628647139E-5</v>
          </cell>
          <cell r="H896">
            <v>5.3966271840239105E-5</v>
          </cell>
          <cell r="I896">
            <v>6.2521310626729681E-5</v>
          </cell>
          <cell r="J896">
            <v>9.1212389075135032E-5</v>
          </cell>
        </row>
        <row r="897">
          <cell r="A897" t="str">
            <v>RHNM-SHSTG-SOL</v>
          </cell>
          <cell r="B897" t="str">
            <v>VAR_ncap</v>
          </cell>
          <cell r="C897" t="str">
            <v>-</v>
          </cell>
          <cell r="D897">
            <v>1.8908464127105401E-4</v>
          </cell>
          <cell r="E897">
            <v>6.8250721768125697E-6</v>
          </cell>
          <cell r="F897">
            <v>1.7735986334870501E-4</v>
          </cell>
          <cell r="G897">
            <v>8.0306605571860008E-6</v>
          </cell>
          <cell r="H897">
            <v>1.70640109885594E-6</v>
          </cell>
          <cell r="I897">
            <v>1.38483814834201E-5</v>
          </cell>
          <cell r="J897">
            <v>2.80914374951275E-5</v>
          </cell>
        </row>
        <row r="898">
          <cell r="A898" t="str">
            <v>RHNM-SHSTG-SOL</v>
          </cell>
          <cell r="B898" t="str">
            <v>VAR_cap</v>
          </cell>
          <cell r="C898" t="str">
            <v>-</v>
          </cell>
          <cell r="D898">
            <v>1.8908464127105401E-4</v>
          </cell>
          <cell r="E898">
            <v>1.95909713447867E-4</v>
          </cell>
          <cell r="F898">
            <v>3.7326957679657201E-4</v>
          </cell>
          <cell r="G898">
            <v>3.8130023735375801E-4</v>
          </cell>
          <cell r="H898">
            <v>2.3962988223668401E-4</v>
          </cell>
          <cell r="I898">
            <v>5.2453933905969798E-5</v>
          </cell>
          <cell r="J898">
            <v>3.88634707269279E-5</v>
          </cell>
        </row>
        <row r="899">
          <cell r="A899" t="str">
            <v>RHNS-SHELCHP</v>
          </cell>
          <cell r="B899" t="str">
            <v>VAR_fout</v>
          </cell>
          <cell r="C899" t="str">
            <v>RHNS-SHAELCH</v>
          </cell>
          <cell r="E899">
            <v>0.13966859468301435</v>
          </cell>
          <cell r="F899">
            <v>1.1046509494877512</v>
          </cell>
          <cell r="G899">
            <v>1.8376656908880187</v>
          </cell>
          <cell r="H899">
            <v>2.3718957152370685</v>
          </cell>
          <cell r="I899">
            <v>2.8034904951725115</v>
          </cell>
          <cell r="J899">
            <v>3.4312144538248233</v>
          </cell>
        </row>
        <row r="900">
          <cell r="A900" t="str">
            <v>RHNS-SHELCHP</v>
          </cell>
          <cell r="B900" t="str">
            <v>VAR_fin</v>
          </cell>
          <cell r="C900" t="str">
            <v>RHNS_ELC</v>
          </cell>
          <cell r="E900">
            <v>4.293092049682818E-2</v>
          </cell>
          <cell r="F900">
            <v>0.32667028068483117</v>
          </cell>
          <cell r="G900">
            <v>0.51027097315490888</v>
          </cell>
          <cell r="H900">
            <v>0.63148532245901756</v>
          </cell>
          <cell r="I900">
            <v>0.72146495425866874</v>
          </cell>
          <cell r="J900">
            <v>0.81705758660398875</v>
          </cell>
        </row>
        <row r="901">
          <cell r="A901" t="str">
            <v>RHNS-SHELCHP</v>
          </cell>
          <cell r="B901" t="str">
            <v>VAR_fin</v>
          </cell>
          <cell r="C901" t="str">
            <v>RHNSELCHPC</v>
          </cell>
          <cell r="E901">
            <v>0.13966859468301435</v>
          </cell>
          <cell r="F901">
            <v>1.1046509494877512</v>
          </cell>
          <cell r="G901">
            <v>1.8376656908880187</v>
          </cell>
          <cell r="H901">
            <v>2.3718957152370685</v>
          </cell>
          <cell r="I901">
            <v>2.8034904951725115</v>
          </cell>
          <cell r="J901">
            <v>3.4312144538248233</v>
          </cell>
        </row>
        <row r="902">
          <cell r="A902" t="str">
            <v>RHNS-SHELCHP</v>
          </cell>
          <cell r="B902" t="str">
            <v>VAR_ncap</v>
          </cell>
          <cell r="C902" t="str">
            <v>-</v>
          </cell>
          <cell r="E902">
            <v>1.02286724749575E-2</v>
          </cell>
          <cell r="F902">
            <v>7.0398453761770896E-2</v>
          </cell>
          <cell r="G902">
            <v>5.3336540352355799E-2</v>
          </cell>
          <cell r="H902">
            <v>4.3871765417757697E-2</v>
          </cell>
          <cell r="I902">
            <v>0.111490186363322</v>
          </cell>
          <cell r="J902">
            <v>0.15050531091024999</v>
          </cell>
        </row>
        <row r="903">
          <cell r="A903" t="str">
            <v>RHNS-SHELCHP</v>
          </cell>
          <cell r="B903" t="str">
            <v>VAR_cap</v>
          </cell>
          <cell r="C903" t="str">
            <v>-</v>
          </cell>
          <cell r="E903">
            <v>1.02286724749575E-2</v>
          </cell>
          <cell r="F903">
            <v>8.062698910552786E-2</v>
          </cell>
          <cell r="G903">
            <v>0.13396313073741933</v>
          </cell>
          <cell r="H903">
            <v>0.17284662433806544</v>
          </cell>
          <cell r="I903">
            <v>0.20425884197509517</v>
          </cell>
          <cell r="J903">
            <v>0.24997486009738826</v>
          </cell>
        </row>
        <row r="904">
          <cell r="A904" t="str">
            <v>SCOM-SHBIOBR</v>
          </cell>
          <cell r="B904" t="str">
            <v>VAR_fout</v>
          </cell>
          <cell r="C904" t="str">
            <v>SCOM-SHBIO</v>
          </cell>
          <cell r="D904">
            <v>1.2230692712559188</v>
          </cell>
          <cell r="E904">
            <v>1.3407699433189733</v>
          </cell>
        </row>
        <row r="905">
          <cell r="A905" t="str">
            <v>SCOM-SHBIOBR</v>
          </cell>
          <cell r="B905" t="str">
            <v>VAR_fin</v>
          </cell>
          <cell r="C905" t="str">
            <v>SBIO</v>
          </cell>
          <cell r="D905">
            <v>1.4022807512679647</v>
          </cell>
          <cell r="E905">
            <v>1.5372276350825202</v>
          </cell>
        </row>
        <row r="906">
          <cell r="A906" t="str">
            <v>SCOM-SHBIOBR</v>
          </cell>
          <cell r="B906" t="str">
            <v>VAR_ncap</v>
          </cell>
          <cell r="C906" t="str">
            <v>-</v>
          </cell>
          <cell r="D906">
            <v>7.5045152113613499E-7</v>
          </cell>
          <cell r="E906">
            <v>4.4921131947639296E-6</v>
          </cell>
          <cell r="F906">
            <v>1.2249709906782499E-6</v>
          </cell>
          <cell r="G906">
            <v>1.10342092800121E-6</v>
          </cell>
          <cell r="H906">
            <v>5.36757603875475E-5</v>
          </cell>
          <cell r="I906">
            <v>4.6646579673228601E-5</v>
          </cell>
          <cell r="J906">
            <v>2.60730816380837E-5</v>
          </cell>
        </row>
        <row r="907">
          <cell r="A907" t="str">
            <v>SCOM-SHBIOBR</v>
          </cell>
          <cell r="B907" t="str">
            <v>VAR_cap</v>
          </cell>
          <cell r="C907" t="str">
            <v>-</v>
          </cell>
          <cell r="D907">
            <v>0.10534167592019714</v>
          </cell>
          <cell r="E907">
            <v>0.10534375721878823</v>
          </cell>
          <cell r="F907">
            <v>0.10530034889289523</v>
          </cell>
          <cell r="G907">
            <v>0.10529110657416767</v>
          </cell>
          <cell r="H907">
            <v>2.735784250472988E-2</v>
          </cell>
          <cell r="I907">
            <v>9.9555075786644448E-5</v>
          </cell>
          <cell r="J907">
            <v>8.1348973419340258E-5</v>
          </cell>
        </row>
        <row r="908">
          <cell r="A908" t="str">
            <v>RHES-SHDEM</v>
          </cell>
          <cell r="B908" t="str">
            <v>VAR_fout</v>
          </cell>
          <cell r="C908" t="str">
            <v>RHES-SHD</v>
          </cell>
          <cell r="D908">
            <v>62.024837503894084</v>
          </cell>
          <cell r="E908">
            <v>67.815394581973521</v>
          </cell>
          <cell r="F908">
            <v>56.579396779246935</v>
          </cell>
          <cell r="G908">
            <v>54.657290328326177</v>
          </cell>
          <cell r="H908">
            <v>53.38542269559801</v>
          </cell>
          <cell r="I908">
            <v>52.379004921136804</v>
          </cell>
          <cell r="J908">
            <v>50.896321558604306</v>
          </cell>
        </row>
        <row r="909">
          <cell r="A909" t="str">
            <v>RHES-SHDEM</v>
          </cell>
          <cell r="B909" t="str">
            <v>VAR_fin</v>
          </cell>
          <cell r="C909" t="str">
            <v>RHES-SHPLT</v>
          </cell>
          <cell r="D909">
            <v>1.2932679068534618</v>
          </cell>
          <cell r="E909">
            <v>1.4868250067881936</v>
          </cell>
          <cell r="F909">
            <v>5.5262329227568054E-2</v>
          </cell>
          <cell r="G909">
            <v>7.2708243886553961E-2</v>
          </cell>
          <cell r="H909">
            <v>7.9254247149223495E-2</v>
          </cell>
          <cell r="I909">
            <v>8.4406302696575577E-2</v>
          </cell>
          <cell r="J909">
            <v>7.3271487571540284E-2</v>
          </cell>
        </row>
        <row r="910">
          <cell r="A910" t="str">
            <v>RHES-SHDEM</v>
          </cell>
          <cell r="B910" t="str">
            <v>VAR_fin</v>
          </cell>
          <cell r="C910" t="str">
            <v>RHES-SHLTHC-NGA</v>
          </cell>
          <cell r="D910">
            <v>3.4675997449995784E-2</v>
          </cell>
          <cell r="E910">
            <v>5.2953925407738705E-3</v>
          </cell>
          <cell r="G910">
            <v>4.8023606099775327E-7</v>
          </cell>
        </row>
        <row r="911">
          <cell r="A911" t="str">
            <v>RHES-SHDEM</v>
          </cell>
          <cell r="B911" t="str">
            <v>VAR_fin</v>
          </cell>
          <cell r="C911" t="str">
            <v>RHES-SHSOL</v>
          </cell>
          <cell r="D911">
            <v>0.37368734901255857</v>
          </cell>
          <cell r="E911">
            <v>0.43539909403719074</v>
          </cell>
          <cell r="F911">
            <v>2.3143196846627415E-2</v>
          </cell>
          <cell r="G911">
            <v>2.6268759824902541E-2</v>
          </cell>
          <cell r="H911">
            <v>2.6959651128625816E-2</v>
          </cell>
          <cell r="I911">
            <v>2.743191938517622E-2</v>
          </cell>
          <cell r="J911">
            <v>2.6723109013768974E-2</v>
          </cell>
        </row>
        <row r="912">
          <cell r="A912" t="str">
            <v>RHES-SHDEM</v>
          </cell>
          <cell r="B912" t="str">
            <v>VAR_fin</v>
          </cell>
          <cell r="C912" t="str">
            <v>RHES-SHLTHC-WOD</v>
          </cell>
          <cell r="D912">
            <v>1.3193329777154423E-3</v>
          </cell>
          <cell r="E912">
            <v>3.6883667165022337E-5</v>
          </cell>
          <cell r="G912">
            <v>9.0055911163329304E-8</v>
          </cell>
          <cell r="I912">
            <v>3.0034046105250803E-8</v>
          </cell>
        </row>
        <row r="913">
          <cell r="A913" t="str">
            <v>RHES-SHDEM</v>
          </cell>
          <cell r="B913" t="str">
            <v>VAR_fin</v>
          </cell>
          <cell r="C913" t="str">
            <v>RHES-SHNGA</v>
          </cell>
          <cell r="D913">
            <v>17.566499119288281</v>
          </cell>
          <cell r="E913">
            <v>18.855309632817612</v>
          </cell>
          <cell r="F913">
            <v>10.433302885828244</v>
          </cell>
          <cell r="G913">
            <v>7.1326618129729953</v>
          </cell>
          <cell r="H913">
            <v>4.5959539520308139</v>
          </cell>
          <cell r="I913">
            <v>2.1260327654231927</v>
          </cell>
          <cell r="J913">
            <v>0.86092647749577944</v>
          </cell>
        </row>
        <row r="914">
          <cell r="A914" t="str">
            <v>RHES-SHDEM</v>
          </cell>
          <cell r="B914" t="str">
            <v>VAR_fin</v>
          </cell>
          <cell r="C914" t="str">
            <v>RHES-SHNGAH</v>
          </cell>
          <cell r="D914">
            <v>8.6585826558320392E-4</v>
          </cell>
          <cell r="E914">
            <v>3.5393445362329316E-5</v>
          </cell>
          <cell r="F914">
            <v>1.5440434393098035</v>
          </cell>
          <cell r="G914">
            <v>1.477948532140257</v>
          </cell>
          <cell r="H914">
            <v>1.356552514034338</v>
          </cell>
          <cell r="I914">
            <v>1.2745863586163502</v>
          </cell>
          <cell r="J914">
            <v>1.0247484554639974</v>
          </cell>
        </row>
        <row r="915">
          <cell r="A915" t="str">
            <v>RHES-SHDEM</v>
          </cell>
          <cell r="B915" t="str">
            <v>VAR_fin</v>
          </cell>
          <cell r="C915" t="str">
            <v>RHES-SHCOA</v>
          </cell>
          <cell r="D915">
            <v>7.459186013875628E-2</v>
          </cell>
          <cell r="E915">
            <v>7.195928085358444E-2</v>
          </cell>
          <cell r="F915">
            <v>2.0727533921261136E-2</v>
          </cell>
          <cell r="G915">
            <v>3.7774436600664091E-4</v>
          </cell>
        </row>
        <row r="916">
          <cell r="A916" t="str">
            <v>RHES-SHDEM</v>
          </cell>
          <cell r="B916" t="str">
            <v>VAR_fin</v>
          </cell>
          <cell r="C916" t="str">
            <v>RHES-SHLFO</v>
          </cell>
          <cell r="D916">
            <v>21.675066996272307</v>
          </cell>
          <cell r="E916">
            <v>19.946131152663263</v>
          </cell>
          <cell r="F916">
            <v>14.226723130664332</v>
          </cell>
          <cell r="G916">
            <v>6.7064140103542309</v>
          </cell>
          <cell r="H916">
            <v>3.8871918161328809</v>
          </cell>
          <cell r="I916">
            <v>1.2323713526273841</v>
          </cell>
          <cell r="J916">
            <v>0.12515625214115611</v>
          </cell>
        </row>
        <row r="917">
          <cell r="A917" t="str">
            <v>RHES-SHDEM</v>
          </cell>
          <cell r="B917" t="str">
            <v>VAR_fin</v>
          </cell>
          <cell r="C917" t="str">
            <v>RHES-SHCON</v>
          </cell>
          <cell r="D917">
            <v>4.5674171879236655E-2</v>
          </cell>
          <cell r="E917">
            <v>3.7123938010235347</v>
          </cell>
          <cell r="F917">
            <v>2.2588437274130544</v>
          </cell>
          <cell r="G917">
            <v>4.5221176991576391</v>
          </cell>
          <cell r="H917">
            <v>6.6728027937082519</v>
          </cell>
          <cell r="I917">
            <v>8.6971132141538252</v>
          </cell>
          <cell r="J917">
            <v>12.461408075590079</v>
          </cell>
        </row>
        <row r="918">
          <cell r="A918" t="str">
            <v>RHES-SHDEM</v>
          </cell>
          <cell r="B918" t="str">
            <v>VAR_fin</v>
          </cell>
          <cell r="C918" t="str">
            <v>RHES-SHWOD</v>
          </cell>
          <cell r="D918">
            <v>4.3836088612404529</v>
          </cell>
          <cell r="E918">
            <v>5.0342067633748853</v>
          </cell>
          <cell r="F918">
            <v>5.3244183415850799</v>
          </cell>
          <cell r="G918">
            <v>4.3796562184072334</v>
          </cell>
          <cell r="H918">
            <v>3.5033162728715914</v>
          </cell>
          <cell r="I918">
            <v>2.7493153120059737</v>
          </cell>
          <cell r="J918">
            <v>1.4792130962021959</v>
          </cell>
        </row>
        <row r="919">
          <cell r="A919" t="str">
            <v>RHES-SHDEM</v>
          </cell>
          <cell r="B919" t="str">
            <v>VAR_fin</v>
          </cell>
          <cell r="C919" t="str">
            <v>RHES-SHLTHD</v>
          </cell>
          <cell r="D919">
            <v>3.1443518711948619</v>
          </cell>
          <cell r="E919">
            <v>3.503731528966521</v>
          </cell>
          <cell r="F919">
            <v>1.4355993042061828</v>
          </cell>
          <cell r="G919">
            <v>1.8199524846870474</v>
          </cell>
          <cell r="H919">
            <v>1.8782778824720077</v>
          </cell>
          <cell r="I919">
            <v>1.9574333555761814</v>
          </cell>
          <cell r="J919">
            <v>1.8236570402421239</v>
          </cell>
        </row>
        <row r="920">
          <cell r="A920" t="str">
            <v>RHES-SHDEM</v>
          </cell>
          <cell r="B920" t="str">
            <v>VAR_fin</v>
          </cell>
          <cell r="C920" t="str">
            <v>RHES-SHELCB</v>
          </cell>
          <cell r="D920">
            <v>4.2764437393434402</v>
          </cell>
          <cell r="E920">
            <v>4.4886083009871811</v>
          </cell>
          <cell r="F920">
            <v>0.78084456091923604</v>
          </cell>
          <cell r="G920">
            <v>0.18379447007916974</v>
          </cell>
          <cell r="H920">
            <v>1.2207520990533604E-2</v>
          </cell>
          <cell r="I920">
            <v>2.3182788997994984E-3</v>
          </cell>
          <cell r="J920">
            <v>7.9190407248182822E-4</v>
          </cell>
        </row>
        <row r="921">
          <cell r="A921" t="str">
            <v>RHES-SHDEM</v>
          </cell>
          <cell r="B921" t="str">
            <v>VAR_fin</v>
          </cell>
          <cell r="C921" t="str">
            <v>RHES-SHELCH</v>
          </cell>
          <cell r="D921">
            <v>9.153934723907625</v>
          </cell>
          <cell r="E921">
            <v>10.275845128461999</v>
          </cell>
          <cell r="F921">
            <v>20.476933320954888</v>
          </cell>
          <cell r="G921">
            <v>28.335692793864343</v>
          </cell>
          <cell r="H921">
            <v>31.373320917829787</v>
          </cell>
          <cell r="I921">
            <v>34.228293769336418</v>
          </cell>
          <cell r="J921">
            <v>33.020656885576805</v>
          </cell>
        </row>
        <row r="922">
          <cell r="A922" t="str">
            <v>RHES-SHDEM</v>
          </cell>
          <cell r="B922" t="str">
            <v>VAR_fin</v>
          </cell>
          <cell r="C922" t="str">
            <v>RHES-SHNST</v>
          </cell>
          <cell r="D922">
            <v>1.1198468018311792E-3</v>
          </cell>
          <cell r="E922">
            <v>3.1593500600248829E-5</v>
          </cell>
          <cell r="G922">
            <v>3.00321340104986E-8</v>
          </cell>
          <cell r="I922">
            <v>1.00173401689506E-8</v>
          </cell>
        </row>
        <row r="923">
          <cell r="A923" t="str">
            <v>D-RHEM_LTH_CHPNGA</v>
          </cell>
          <cell r="B923" t="str">
            <v>VAR_fout</v>
          </cell>
          <cell r="C923" t="str">
            <v>RHSA_LTH</v>
          </cell>
          <cell r="D923">
            <v>6.517875843454334E-4</v>
          </cell>
          <cell r="E923">
            <v>7.6971368298384675E-5</v>
          </cell>
          <cell r="F923">
            <v>3.199267529724803E-2</v>
          </cell>
          <cell r="G923">
            <v>9.640842047836754E-6</v>
          </cell>
          <cell r="H923">
            <v>1.191283709372136E-5</v>
          </cell>
          <cell r="I923">
            <v>2.1122792540311924E-5</v>
          </cell>
          <cell r="J923">
            <v>1.1482526209846323E-5</v>
          </cell>
        </row>
        <row r="924">
          <cell r="A924" t="str">
            <v>D-RHEM_LTH_CHPNGA</v>
          </cell>
          <cell r="B924" t="str">
            <v>VAR_fout</v>
          </cell>
          <cell r="C924" t="str">
            <v>RHEM_LTH_CHPNGA_ON</v>
          </cell>
          <cell r="D924">
            <v>5.2998761201840001E-2</v>
          </cell>
          <cell r="E924">
            <v>3.9130279461786155E-2</v>
          </cell>
          <cell r="F924">
            <v>1.3882808023663639E-2</v>
          </cell>
          <cell r="G924">
            <v>9.032503920124193E-6</v>
          </cell>
          <cell r="H924">
            <v>9.0073214952097845E-6</v>
          </cell>
          <cell r="I924">
            <v>3.6981887223503171E-6</v>
          </cell>
          <cell r="J924">
            <v>4.9127719600276409E-6</v>
          </cell>
        </row>
        <row r="925">
          <cell r="A925" t="str">
            <v>D-RHEM_LTH_CHPNGA</v>
          </cell>
          <cell r="B925" t="str">
            <v>VAR_fout</v>
          </cell>
          <cell r="C925" t="str">
            <v>LTH</v>
          </cell>
          <cell r="E925">
            <v>3.8365823071544202E-6</v>
          </cell>
          <cell r="F925">
            <v>1.4330682755149604E-5</v>
          </cell>
          <cell r="G925">
            <v>1.1084118070178982E-6</v>
          </cell>
          <cell r="H925">
            <v>1.7397443717124972E-6</v>
          </cell>
          <cell r="I925">
            <v>1.2506381946158463E-5</v>
          </cell>
          <cell r="J925">
            <v>6.3413471075294952E-6</v>
          </cell>
        </row>
        <row r="926">
          <cell r="A926" t="str">
            <v>D-RHEM_LTH_CHPNGA</v>
          </cell>
          <cell r="B926" t="str">
            <v>VAR_fin</v>
          </cell>
          <cell r="C926" t="str">
            <v>RHEM_LTH_CHPNGA</v>
          </cell>
          <cell r="D926">
            <v>5.3650548786185422E-2</v>
          </cell>
          <cell r="E926">
            <v>3.9211830057988714E-2</v>
          </cell>
          <cell r="F926">
            <v>4.5889833844116053E-2</v>
          </cell>
          <cell r="G926">
            <v>2.0939249596691951E-5</v>
          </cell>
          <cell r="H926">
            <v>2.3668167111062541E-5</v>
          </cell>
          <cell r="I926">
            <v>3.7327363208820696E-5</v>
          </cell>
          <cell r="J926">
            <v>2.2736645277403468E-5</v>
          </cell>
        </row>
        <row r="927">
          <cell r="A927" t="str">
            <v>RHEM-SHLTHCHPNGA</v>
          </cell>
          <cell r="B927" t="str">
            <v>VAR_fout</v>
          </cell>
          <cell r="C927" t="str">
            <v>RHEM-SHLTHC-NGA</v>
          </cell>
          <cell r="D927">
            <v>4.7943074657565948E-2</v>
          </cell>
          <cell r="E927">
            <v>3.854869887570072E-2</v>
          </cell>
        </row>
        <row r="928">
          <cell r="A928" t="str">
            <v>RHEM-SHLTHCHPNGA</v>
          </cell>
          <cell r="B928" t="str">
            <v>VAR_fin</v>
          </cell>
          <cell r="C928" t="str">
            <v>RHEM_LTH_CHPNGA_ON</v>
          </cell>
          <cell r="D928">
            <v>4.8427348138955523E-2</v>
          </cell>
          <cell r="E928">
            <v>3.8938079672424991E-2</v>
          </cell>
        </row>
        <row r="929">
          <cell r="A929" t="str">
            <v>RHEM-SHLTHCHPNGA</v>
          </cell>
          <cell r="B929" t="str">
            <v>VAR_fin</v>
          </cell>
          <cell r="C929" t="str">
            <v>RHEMLTHCHPC</v>
          </cell>
          <cell r="D929">
            <v>4.7943074657565948E-2</v>
          </cell>
          <cell r="E929">
            <v>3.854869887570072E-2</v>
          </cell>
        </row>
        <row r="930">
          <cell r="A930" t="str">
            <v>RHEM-SHLTHCHPNGA</v>
          </cell>
          <cell r="B930" t="str">
            <v>VAR_ncap</v>
          </cell>
          <cell r="C930" t="str">
            <v>-</v>
          </cell>
          <cell r="D930">
            <v>1.0942216425353801E-6</v>
          </cell>
          <cell r="E930">
            <v>2.9082907525817899E-3</v>
          </cell>
          <cell r="F930">
            <v>6.4219695650470096E-3</v>
          </cell>
          <cell r="G930">
            <v>1.1389602229813E-4</v>
          </cell>
          <cell r="H930">
            <v>1.4781978361209201E-4</v>
          </cell>
          <cell r="I930">
            <v>3.6776795675643003E-5</v>
          </cell>
          <cell r="J930">
            <v>1.2649487175171799E-8</v>
          </cell>
        </row>
        <row r="931">
          <cell r="A931" t="str">
            <v>RHEM-SHLTHCHPNGA</v>
          </cell>
          <cell r="B931" t="str">
            <v>VAR_cap</v>
          </cell>
          <cell r="C931" t="str">
            <v>-</v>
          </cell>
          <cell r="D931">
            <v>6.7992952201912649E-3</v>
          </cell>
          <cell r="E931">
            <v>4.5692961196069594E-3</v>
          </cell>
          <cell r="F931">
            <v>8.4218215970686301E-3</v>
          </cell>
          <cell r="G931">
            <v>2.8806799525370186E-4</v>
          </cell>
          <cell r="H931">
            <v>2.6023326293510979E-4</v>
          </cell>
          <cell r="I931">
            <v>8.2170285445519985E-5</v>
          </cell>
        </row>
        <row r="932">
          <cell r="A932" t="str">
            <v>D-RHES_SOLELC</v>
          </cell>
          <cell r="B932" t="str">
            <v>VAR_fout</v>
          </cell>
          <cell r="C932" t="str">
            <v>RHES_ELC</v>
          </cell>
          <cell r="D932">
            <v>2.1319498139062945</v>
          </cell>
          <cell r="E932">
            <v>3.3895245561914482</v>
          </cell>
          <cell r="F932">
            <v>4.0389614915859102</v>
          </cell>
          <cell r="G932">
            <v>4.3434148421187944</v>
          </cell>
          <cell r="H932">
            <v>4.6096425525672409</v>
          </cell>
          <cell r="I932">
            <v>4.8934738911961384</v>
          </cell>
          <cell r="J932">
            <v>5.513307645754268</v>
          </cell>
        </row>
        <row r="933">
          <cell r="A933" t="str">
            <v>D-RHES_SOLELC</v>
          </cell>
          <cell r="B933" t="str">
            <v>VAR_fout</v>
          </cell>
          <cell r="C933" t="str">
            <v>ELC5</v>
          </cell>
          <cell r="D933">
            <v>2.9892748283674485E-3</v>
          </cell>
          <cell r="E933">
            <v>1.1420534245478026E-3</v>
          </cell>
          <cell r="F933">
            <v>1.22766415176899E-3</v>
          </cell>
          <cell r="G933">
            <v>6.2438148242373087E-4</v>
          </cell>
          <cell r="H933">
            <v>1.2273762941556407E-3</v>
          </cell>
          <cell r="I933">
            <v>9.5134587823196765E-4</v>
          </cell>
          <cell r="J933">
            <v>7.9543271557689017E-4</v>
          </cell>
        </row>
        <row r="934">
          <cell r="A934" t="str">
            <v>D-RHES_SOLELC</v>
          </cell>
          <cell r="B934" t="str">
            <v>VAR_fin</v>
          </cell>
          <cell r="C934" t="str">
            <v>RHES_SOL_ELC</v>
          </cell>
          <cell r="D934">
            <v>2.1349390887346629</v>
          </cell>
          <cell r="E934">
            <v>3.3906652963971213</v>
          </cell>
          <cell r="F934">
            <v>4.0401891557376786</v>
          </cell>
          <cell r="G934">
            <v>4.3440392236012215</v>
          </cell>
          <cell r="H934">
            <v>4.6108699288613915</v>
          </cell>
          <cell r="I934">
            <v>4.8944252370743726</v>
          </cell>
          <cell r="J934">
            <v>5.514103078469839</v>
          </cell>
        </row>
        <row r="935">
          <cell r="A935" t="str">
            <v>D-DH2</v>
          </cell>
          <cell r="B935" t="str">
            <v>VAR_fout</v>
          </cell>
          <cell r="C935" t="str">
            <v>H2</v>
          </cell>
          <cell r="G935">
            <v>2.5979775839457691E-6</v>
          </cell>
          <cell r="H935">
            <v>1.017754774221341E-4</v>
          </cell>
          <cell r="I935">
            <v>0.94181004228310461</v>
          </cell>
          <cell r="J935">
            <v>0.9964970095349116</v>
          </cell>
        </row>
        <row r="936">
          <cell r="A936" t="str">
            <v>D-DH2</v>
          </cell>
          <cell r="B936" t="str">
            <v>VAR_fin</v>
          </cell>
          <cell r="C936" t="str">
            <v>H2_E</v>
          </cell>
          <cell r="G936">
            <v>2.6242197817634044E-6</v>
          </cell>
          <cell r="H936">
            <v>1.0280351254761027E-4</v>
          </cell>
          <cell r="I936">
            <v>0.95132327503343839</v>
          </cell>
          <cell r="J936">
            <v>1.00656263589385</v>
          </cell>
        </row>
        <row r="937">
          <cell r="A937" t="str">
            <v>D-DH2</v>
          </cell>
          <cell r="B937" t="str">
            <v>VAR_ncap</v>
          </cell>
          <cell r="C937" t="str">
            <v>-</v>
          </cell>
          <cell r="G937">
            <v>4.4961677846737703E-5</v>
          </cell>
          <cell r="H937">
            <v>5.6552373772090701E-5</v>
          </cell>
          <cell r="I937">
            <v>0.12639630699593499</v>
          </cell>
          <cell r="J937">
            <v>7.3391443531145998E-3</v>
          </cell>
        </row>
        <row r="938">
          <cell r="A938" t="str">
            <v>D-DH2</v>
          </cell>
          <cell r="B938" t="str">
            <v>VAR_cap</v>
          </cell>
          <cell r="C938" t="str">
            <v>-</v>
          </cell>
          <cell r="G938">
            <v>4.4961677846737703E-5</v>
          </cell>
          <cell r="H938">
            <v>1.01514051618828E-4</v>
          </cell>
          <cell r="I938">
            <v>0.126497821047553</v>
          </cell>
          <cell r="J938">
            <v>0.133836965400668</v>
          </cell>
        </row>
        <row r="939">
          <cell r="A939" t="str">
            <v>ITOT-SWHHFOBR</v>
          </cell>
          <cell r="B939" t="str">
            <v>VAR_fout</v>
          </cell>
          <cell r="C939" t="str">
            <v>ITOT-SWH</v>
          </cell>
          <cell r="D939">
            <v>1.8458254541943471</v>
          </cell>
          <cell r="E939">
            <v>1.6332188413609612</v>
          </cell>
          <cell r="F939">
            <v>2.7597992612674515E-3</v>
          </cell>
          <cell r="G939">
            <v>4.984688961578509E-4</v>
          </cell>
          <cell r="H939">
            <v>1.0235944762361884E-3</v>
          </cell>
          <cell r="I939">
            <v>3.2394367574516089E-3</v>
          </cell>
        </row>
        <row r="940">
          <cell r="A940" t="str">
            <v>ITOT-SWHHFOBR</v>
          </cell>
          <cell r="B940" t="str">
            <v>VAR_fout</v>
          </cell>
          <cell r="C940" t="str">
            <v>CO2_I</v>
          </cell>
          <cell r="D940">
            <v>210.21047879159201</v>
          </cell>
          <cell r="E940">
            <v>185.19674660893</v>
          </cell>
          <cell r="F940">
            <v>0.31093485961422102</v>
          </cell>
          <cell r="G940">
            <v>5.5565841482670297E-2</v>
          </cell>
          <cell r="H940">
            <v>0.112907905338256</v>
          </cell>
          <cell r="I940">
            <v>0.35362272595963001</v>
          </cell>
        </row>
        <row r="941">
          <cell r="A941" t="str">
            <v>ITOT-SWHHFOBR</v>
          </cell>
          <cell r="B941" t="str">
            <v>VAR_fin</v>
          </cell>
          <cell r="C941" t="str">
            <v>IHFO</v>
          </cell>
          <cell r="D941">
            <v>2.7300062180726159</v>
          </cell>
          <cell r="E941">
            <v>2.4051525533627287</v>
          </cell>
          <cell r="F941">
            <v>4.0381150599249392E-3</v>
          </cell>
          <cell r="G941">
            <v>7.2163430496974355E-4</v>
          </cell>
          <cell r="H941">
            <v>1.4663364329643668E-3</v>
          </cell>
          <cell r="I941">
            <v>4.5925029345406446E-3</v>
          </cell>
        </row>
        <row r="942">
          <cell r="A942" t="str">
            <v>ITOT-SWHHFOBR</v>
          </cell>
          <cell r="B942" t="str">
            <v>VAR_ncap</v>
          </cell>
          <cell r="C942" t="str">
            <v>-</v>
          </cell>
          <cell r="D942">
            <v>6.4137391910455699E-4</v>
          </cell>
          <cell r="E942">
            <v>2.2274970941555201E-5</v>
          </cell>
          <cell r="F942">
            <v>1.6744942325697098E-5</v>
          </cell>
          <cell r="G942">
            <v>1.8311837660778799E-5</v>
          </cell>
          <cell r="H942">
            <v>8.3577319142109701E-5</v>
          </cell>
          <cell r="I942">
            <v>2.2646180424915901E-4</v>
          </cell>
          <cell r="J942">
            <v>1.09951911510244E-6</v>
          </cell>
        </row>
        <row r="943">
          <cell r="A943" t="str">
            <v>ITOT-SWHHFOBR</v>
          </cell>
          <cell r="B943" t="str">
            <v>VAR_cap</v>
          </cell>
          <cell r="C943" t="str">
            <v>-</v>
          </cell>
          <cell r="D943">
            <v>0.10135837391910456</v>
          </cell>
          <cell r="E943">
            <v>0.10125957532629384</v>
          </cell>
          <cell r="F943">
            <v>2.6199132964281613E-4</v>
          </cell>
          <cell r="G943">
            <v>4.7403545545596226E-5</v>
          </cell>
          <cell r="H943">
            <v>9.6950567901175899E-5</v>
          </cell>
          <cell r="I943">
            <v>3.025144424498002E-4</v>
          </cell>
          <cell r="J943">
            <v>-1.9465260295529899E-6</v>
          </cell>
        </row>
        <row r="944">
          <cell r="A944" t="str">
            <v>RHSA-WHSTG-ELCHP</v>
          </cell>
          <cell r="B944" t="str">
            <v>VAR_fout</v>
          </cell>
          <cell r="C944" t="str">
            <v>AUX_RHSA-WHSTG-ELCHP_OUT</v>
          </cell>
          <cell r="D944">
            <v>0.59743107814165408</v>
          </cell>
          <cell r="E944">
            <v>0.60248525757657734</v>
          </cell>
          <cell r="F944">
            <v>0.85543427367512914</v>
          </cell>
          <cell r="G944">
            <v>1.4687073682425955</v>
          </cell>
          <cell r="H944">
            <v>2.1730397175809797</v>
          </cell>
          <cell r="I944">
            <v>2.7374819899687846</v>
          </cell>
          <cell r="J944">
            <v>3.1331899818312956</v>
          </cell>
        </row>
        <row r="945">
          <cell r="A945" t="str">
            <v>RHSA-WHSTG-ELCHP</v>
          </cell>
          <cell r="B945" t="str">
            <v>VAR_fout</v>
          </cell>
          <cell r="C945" t="str">
            <v>RHSA-WHAELCH</v>
          </cell>
          <cell r="D945">
            <v>0.59683424389775663</v>
          </cell>
          <cell r="E945">
            <v>0.60188337420237459</v>
          </cell>
          <cell r="F945">
            <v>0.85457969398114786</v>
          </cell>
          <cell r="G945">
            <v>1.4672401281144811</v>
          </cell>
          <cell r="H945">
            <v>2.1708688487322463</v>
          </cell>
          <cell r="I945">
            <v>2.7347472427260566</v>
          </cell>
          <cell r="J945">
            <v>3.1300599219093868</v>
          </cell>
        </row>
        <row r="946">
          <cell r="A946" t="str">
            <v>RHSA-WHSTG-ELCHP</v>
          </cell>
          <cell r="B946" t="str">
            <v>VAR_fin</v>
          </cell>
          <cell r="C946" t="str">
            <v>RHSA-WHAELCH</v>
          </cell>
          <cell r="D946">
            <v>0.59684878655053131</v>
          </cell>
          <cell r="E946">
            <v>0.60188760883753256</v>
          </cell>
          <cell r="F946">
            <v>0.85458033938234612</v>
          </cell>
          <cell r="G946">
            <v>1.4672418284666588</v>
          </cell>
          <cell r="H946">
            <v>2.1708702098190145</v>
          </cell>
          <cell r="I946">
            <v>2.7347488744746076</v>
          </cell>
          <cell r="J946">
            <v>3.1300611169406172</v>
          </cell>
        </row>
        <row r="947">
          <cell r="A947" t="str">
            <v>RHSA-WHSTG-ELCHP</v>
          </cell>
          <cell r="B947" t="str">
            <v>VAR_ncap</v>
          </cell>
          <cell r="C947" t="str">
            <v>-</v>
          </cell>
          <cell r="D947">
            <v>5.7944135724162397E-2</v>
          </cell>
          <cell r="E947">
            <v>9.2604858252201604E-5</v>
          </cell>
          <cell r="F947">
            <v>2.0995660913757701E-2</v>
          </cell>
          <cell r="G947">
            <v>6.8869757440451193E-2</v>
          </cell>
          <cell r="H947">
            <v>9.0498366087147994E-2</v>
          </cell>
          <cell r="I947">
            <v>0.10564282060781401</v>
          </cell>
          <cell r="J947">
            <v>0.17799118453028101</v>
          </cell>
        </row>
        <row r="948">
          <cell r="A948" t="str">
            <v>RHSA-WHSTG-ELCHP</v>
          </cell>
          <cell r="B948" t="str">
            <v>VAR_cap</v>
          </cell>
          <cell r="C948" t="str">
            <v>-</v>
          </cell>
          <cell r="D948">
            <v>5.7945375253565488E-2</v>
          </cell>
          <cell r="E948">
            <v>5.7913425156368312E-2</v>
          </cell>
          <cell r="F948">
            <v>7.8887053883505115E-2</v>
          </cell>
          <cell r="G948">
            <v>0.14773194787924954</v>
          </cell>
          <cell r="H948">
            <v>0.1952536279058032</v>
          </cell>
          <cell r="I948">
            <v>0.24680185306742011</v>
          </cell>
          <cell r="J948">
            <v>0.29287681355159673</v>
          </cell>
        </row>
        <row r="949">
          <cell r="A949" t="str">
            <v>RES-ELCSPECADV</v>
          </cell>
          <cell r="B949" t="str">
            <v>VAR_fout</v>
          </cell>
          <cell r="C949" t="str">
            <v>RHSA-ELS</v>
          </cell>
          <cell r="F949">
            <v>1.3486822120947664E-3</v>
          </cell>
          <cell r="G949">
            <v>9.2968202469152619</v>
          </cell>
          <cell r="H949">
            <v>13.763541212299899</v>
          </cell>
          <cell r="I949">
            <v>18.421334613955654</v>
          </cell>
          <cell r="J949">
            <v>27.710063074808389</v>
          </cell>
        </row>
        <row r="950">
          <cell r="A950" t="str">
            <v>RES-ELCSPECADV</v>
          </cell>
          <cell r="B950" t="str">
            <v>VAR_fin</v>
          </cell>
          <cell r="C950" t="str">
            <v>RHSA_ELC</v>
          </cell>
          <cell r="F950">
            <v>8.9912147472984388E-4</v>
          </cell>
          <cell r="G950">
            <v>6.1978801646101767</v>
          </cell>
          <cell r="H950">
            <v>9.1756941415332474</v>
          </cell>
          <cell r="I950">
            <v>12.280889742637104</v>
          </cell>
          <cell r="J950">
            <v>18.473375383205596</v>
          </cell>
        </row>
        <row r="951">
          <cell r="A951" t="str">
            <v>RES-ELCSPECADV</v>
          </cell>
          <cell r="B951" t="str">
            <v>VAR_ncap</v>
          </cell>
          <cell r="C951" t="str">
            <v>-</v>
          </cell>
          <cell r="F951">
            <v>1.6430575604065099E-4</v>
          </cell>
          <cell r="G951">
            <v>0.98250335484686102</v>
          </cell>
          <cell r="H951">
            <v>0.47212983186032997</v>
          </cell>
          <cell r="I951">
            <v>0.492325769096632</v>
          </cell>
          <cell r="J951">
            <v>1.32300397244837</v>
          </cell>
        </row>
        <row r="952">
          <cell r="A952" t="str">
            <v>RES-ELCSPECADV</v>
          </cell>
          <cell r="B952" t="str">
            <v>VAR_cap</v>
          </cell>
          <cell r="C952" t="str">
            <v>-</v>
          </cell>
          <cell r="F952">
            <v>1.6430575604065099E-4</v>
          </cell>
          <cell r="G952">
            <v>0.98266757491405499</v>
          </cell>
          <cell r="H952">
            <v>1.4547970938774868</v>
          </cell>
          <cell r="I952">
            <v>1.947122432432296</v>
          </cell>
          <cell r="J952">
            <v>2.9289344521987575</v>
          </cell>
        </row>
        <row r="953">
          <cell r="A953" t="str">
            <v>ITOT-SWHSTG-ELCHP</v>
          </cell>
          <cell r="B953" t="str">
            <v>VAR_fout</v>
          </cell>
          <cell r="C953" t="str">
            <v>ITOT-SWHAELCH</v>
          </cell>
          <cell r="D953">
            <v>1.2104331143989378E-4</v>
          </cell>
          <cell r="E953">
            <v>1.8885761671121553E-5</v>
          </cell>
          <cell r="F953">
            <v>4.6401807532796034E-3</v>
          </cell>
          <cell r="G953">
            <v>9.8986158235304001E-4</v>
          </cell>
          <cell r="H953">
            <v>1.8927642234273282E-3</v>
          </cell>
          <cell r="I953">
            <v>3.2291750887873485E-3</v>
          </cell>
          <cell r="J953">
            <v>4.2624012550358421E-2</v>
          </cell>
        </row>
        <row r="954">
          <cell r="A954" t="str">
            <v>ITOT-SWHSTG-ELCHP</v>
          </cell>
          <cell r="B954" t="str">
            <v>VAR_fin</v>
          </cell>
          <cell r="C954" t="str">
            <v>ITOT-SWHAELCH</v>
          </cell>
          <cell r="D954">
            <v>7.669263971441919E-5</v>
          </cell>
          <cell r="E954">
            <v>1.790078767952377E-5</v>
          </cell>
          <cell r="F954">
            <v>5.9830053258888649E-3</v>
          </cell>
          <cell r="G954">
            <v>1.2618624641921497E-3</v>
          </cell>
          <cell r="H954">
            <v>2.3247768926523806E-3</v>
          </cell>
          <cell r="I954">
            <v>3.8285235252164167E-3</v>
          </cell>
          <cell r="J954">
            <v>4.7384104637516231E-2</v>
          </cell>
        </row>
        <row r="955">
          <cell r="A955" t="str">
            <v>ITOT-SWHSTG-ELCHP</v>
          </cell>
          <cell r="B955" t="str">
            <v>VAR_ncap</v>
          </cell>
          <cell r="C955" t="str">
            <v>-</v>
          </cell>
          <cell r="D955">
            <v>1.8796494334293399E-2</v>
          </cell>
          <cell r="E955">
            <v>1.3283284042295301E-4</v>
          </cell>
          <cell r="F955">
            <v>4.49438654962131E-4</v>
          </cell>
          <cell r="G955">
            <v>5.7637995978504303E-2</v>
          </cell>
          <cell r="H955">
            <v>2.45501823165627E-2</v>
          </cell>
          <cell r="I955">
            <v>2.49970357716142E-2</v>
          </cell>
          <cell r="J955">
            <v>5.8698097066559499E-2</v>
          </cell>
        </row>
        <row r="956">
          <cell r="A956" t="str">
            <v>ITOT-SWHSTG-ELCHP</v>
          </cell>
          <cell r="B956" t="str">
            <v>VAR_cap</v>
          </cell>
          <cell r="C956" t="str">
            <v>-</v>
          </cell>
          <cell r="D956">
            <v>1.8796494334293399E-2</v>
          </cell>
          <cell r="E956">
            <v>1.7977888224335103E-2</v>
          </cell>
          <cell r="F956">
            <v>1.8338052390297378E-2</v>
          </cell>
          <cell r="G956">
            <v>7.5890411654543327E-2</v>
          </cell>
          <cell r="H956">
            <v>8.7141706143272935E-2</v>
          </cell>
          <cell r="I956">
            <v>8.8910539367150931E-2</v>
          </cell>
          <cell r="J956">
            <v>8.7159737254703884E-2</v>
          </cell>
        </row>
        <row r="957">
          <cell r="A957" t="str">
            <v>D-RHNS_LTH_CHPWOD</v>
          </cell>
          <cell r="B957" t="str">
            <v>VAR_fout</v>
          </cell>
          <cell r="C957" t="str">
            <v>RHNS_LTH_CHPWOD_ON</v>
          </cell>
          <cell r="D957">
            <v>2.2962570027876339E-5</v>
          </cell>
          <cell r="E957">
            <v>1.1082603673877118E-5</v>
          </cell>
          <cell r="F957">
            <v>2.4565086520258474E-6</v>
          </cell>
          <cell r="G957">
            <v>4.8648070811572645E-6</v>
          </cell>
          <cell r="H957">
            <v>7.070168627398736E-6</v>
          </cell>
          <cell r="I957">
            <v>8.2233128069666291E-7</v>
          </cell>
          <cell r="J957">
            <v>3.8892437013378391E-6</v>
          </cell>
        </row>
        <row r="958">
          <cell r="A958" t="str">
            <v>D-RHNS_LTH_CHPWOD</v>
          </cell>
          <cell r="B958" t="str">
            <v>VAR_fout</v>
          </cell>
          <cell r="C958" t="str">
            <v>RHSA_LTH</v>
          </cell>
          <cell r="D958">
            <v>1.3313295646519349E-5</v>
          </cell>
          <cell r="E958">
            <v>1.4005752554154571E-5</v>
          </cell>
          <cell r="F958">
            <v>5.5085460102782331E-6</v>
          </cell>
          <cell r="G958">
            <v>1.3837961821646747E-5</v>
          </cell>
          <cell r="H958">
            <v>1.1086458940256299E-5</v>
          </cell>
          <cell r="I958">
            <v>1.9919626747488334E-5</v>
          </cell>
          <cell r="J958">
            <v>9.4990181883683106E-6</v>
          </cell>
        </row>
        <row r="959">
          <cell r="A959" t="str">
            <v>D-RHNS_LTH_CHPWOD</v>
          </cell>
          <cell r="B959" t="str">
            <v>VAR_fout</v>
          </cell>
          <cell r="C959" t="str">
            <v>LTH</v>
          </cell>
          <cell r="G959">
            <v>1.1082787546372193E-6</v>
          </cell>
          <cell r="H959">
            <v>8.5603554496280522E-7</v>
          </cell>
          <cell r="I959">
            <v>7.4596013088162355E-6</v>
          </cell>
          <cell r="J959">
            <v>5.2054633597876832E-6</v>
          </cell>
        </row>
        <row r="960">
          <cell r="A960" t="str">
            <v>D-RHNS_LTH_CHPWOD</v>
          </cell>
          <cell r="B960" t="str">
            <v>VAR_fin</v>
          </cell>
          <cell r="C960" t="str">
            <v>RHNS_LTH_CHPWOD</v>
          </cell>
          <cell r="D960">
            <v>3.6275865674395693E-5</v>
          </cell>
          <cell r="E960">
            <v>2.5868991985960352E-5</v>
          </cell>
          <cell r="F960">
            <v>8.3534065261307155E-6</v>
          </cell>
          <cell r="G960">
            <v>2.0831111860542074E-5</v>
          </cell>
          <cell r="H960">
            <v>2.0108471500727128E-5</v>
          </cell>
          <cell r="I960">
            <v>2.8201559337001235E-5</v>
          </cell>
          <cell r="J960">
            <v>1.8593725249493818E-5</v>
          </cell>
        </row>
        <row r="961">
          <cell r="A961" t="str">
            <v>D-SBIO</v>
          </cell>
          <cell r="B961" t="str">
            <v>VAR_fout</v>
          </cell>
          <cell r="C961" t="str">
            <v>SBIO</v>
          </cell>
          <cell r="D961">
            <v>4.047678497955741</v>
          </cell>
          <cell r="E961">
            <v>4.5835572344108719</v>
          </cell>
          <cell r="F961">
            <v>3.0432886410802027</v>
          </cell>
          <cell r="G961">
            <v>3.0324895825530755</v>
          </cell>
          <cell r="H961">
            <v>2.9912887540564852</v>
          </cell>
          <cell r="I961">
            <v>2.9500777027342311</v>
          </cell>
          <cell r="J961">
            <v>2.8717897025600032</v>
          </cell>
        </row>
        <row r="962">
          <cell r="A962" t="str">
            <v>D-SBIO</v>
          </cell>
          <cell r="B962" t="str">
            <v>VAR_fin</v>
          </cell>
          <cell r="C962" t="str">
            <v>BIO</v>
          </cell>
          <cell r="D962">
            <v>4.047678497955741</v>
          </cell>
          <cell r="E962">
            <v>4.5835572344108719</v>
          </cell>
          <cell r="F962">
            <v>3.0432886410802027</v>
          </cell>
          <cell r="G962">
            <v>3.0324895825530755</v>
          </cell>
          <cell r="H962">
            <v>2.9912887540564852</v>
          </cell>
          <cell r="I962">
            <v>2.9500777027342311</v>
          </cell>
          <cell r="J962">
            <v>2.8717897025600032</v>
          </cell>
        </row>
        <row r="963">
          <cell r="A963" t="str">
            <v>RHEM-SHDEM</v>
          </cell>
          <cell r="B963" t="str">
            <v>VAR_fout</v>
          </cell>
          <cell r="C963" t="str">
            <v>RHEM-SHD</v>
          </cell>
          <cell r="D963">
            <v>66.986774791699034</v>
          </cell>
          <cell r="E963">
            <v>66.782026660973159</v>
          </cell>
          <cell r="F963">
            <v>66.343280018983265</v>
          </cell>
          <cell r="G963">
            <v>63.694192449350894</v>
          </cell>
          <cell r="H963">
            <v>61.454913333249934</v>
          </cell>
          <cell r="I963">
            <v>59.520483790278192</v>
          </cell>
          <cell r="J963">
            <v>56.661189855582805</v>
          </cell>
        </row>
        <row r="964">
          <cell r="A964" t="str">
            <v>RHEM-SHDEM</v>
          </cell>
          <cell r="B964" t="str">
            <v>VAR_fin</v>
          </cell>
          <cell r="C964" t="str">
            <v>RHEM-SHNST</v>
          </cell>
          <cell r="D964">
            <v>2.742622982499917E-4</v>
          </cell>
          <cell r="E964">
            <v>3.8332955947629694E-5</v>
          </cell>
          <cell r="G964">
            <v>2.3146451082227781E-6</v>
          </cell>
          <cell r="H964">
            <v>8.1182593351384444E-7</v>
          </cell>
          <cell r="I964">
            <v>3.4495467894816564E-6</v>
          </cell>
        </row>
        <row r="965">
          <cell r="A965" t="str">
            <v>RHEM-SHDEM</v>
          </cell>
          <cell r="B965" t="str">
            <v>VAR_fin</v>
          </cell>
          <cell r="C965" t="str">
            <v>RHEM-SHPLT</v>
          </cell>
          <cell r="D965">
            <v>1.4006721442928975</v>
          </cell>
          <cell r="E965">
            <v>1.607731271568267</v>
          </cell>
          <cell r="F965">
            <v>0.39863382902513722</v>
          </cell>
          <cell r="G965">
            <v>0.49054017378409331</v>
          </cell>
          <cell r="H965">
            <v>0.51753388572937609</v>
          </cell>
          <cell r="I965">
            <v>0.53429647181576012</v>
          </cell>
          <cell r="J965">
            <v>0.42036738360151765</v>
          </cell>
        </row>
        <row r="966">
          <cell r="A966" t="str">
            <v>RHEM-SHDEM</v>
          </cell>
          <cell r="B966" t="str">
            <v>VAR_fin</v>
          </cell>
          <cell r="C966" t="str">
            <v>RHEM-SHNGAH</v>
          </cell>
          <cell r="D966">
            <v>1.9706356362040911E-4</v>
          </cell>
          <cell r="E966">
            <v>4.4411321928817438E-5</v>
          </cell>
          <cell r="F966">
            <v>1.7926321530316531</v>
          </cell>
          <cell r="G966">
            <v>3.0984300415424619</v>
          </cell>
          <cell r="H966">
            <v>3.8336065513270761</v>
          </cell>
          <cell r="I966">
            <v>4.6965527593286192</v>
          </cell>
          <cell r="J966">
            <v>4.0956659423311228</v>
          </cell>
        </row>
        <row r="967">
          <cell r="A967" t="str">
            <v>RHEM-SHDEM</v>
          </cell>
          <cell r="B967" t="str">
            <v>VAR_fin</v>
          </cell>
          <cell r="C967" t="str">
            <v>RHEM-SHLTHC-WOD</v>
          </cell>
          <cell r="D967">
            <v>2.8344778188959624E-4</v>
          </cell>
          <cell r="E967">
            <v>3.8713907479799043E-5</v>
          </cell>
          <cell r="G967">
            <v>1.3852381671941848E-6</v>
          </cell>
          <cell r="H967">
            <v>1.2487128025910633E-6</v>
          </cell>
        </row>
        <row r="968">
          <cell r="A968" t="str">
            <v>RHEM-SHDEM</v>
          </cell>
          <cell r="B968" t="str">
            <v>VAR_fin</v>
          </cell>
          <cell r="C968" t="str">
            <v>RHEM-SHSOL</v>
          </cell>
          <cell r="D968">
            <v>0.40763141978150841</v>
          </cell>
          <cell r="E968">
            <v>0.47080372916660734</v>
          </cell>
          <cell r="F968">
            <v>9.6631862245867579E-3</v>
          </cell>
          <cell r="G968">
            <v>1.2593224620676736E-2</v>
          </cell>
          <cell r="H968">
            <v>1.3632616275793652E-2</v>
          </cell>
          <cell r="I968">
            <v>1.4404081159504775E-2</v>
          </cell>
          <cell r="J968">
            <v>1.3764682722092872E-2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RHEM-SHLTHD</v>
          </cell>
          <cell r="D969">
            <v>3.394919474494829</v>
          </cell>
          <cell r="E969">
            <v>3.7886541792269037</v>
          </cell>
          <cell r="F969">
            <v>4.4410509574204777</v>
          </cell>
          <cell r="G969">
            <v>5.2322800853777967</v>
          </cell>
          <cell r="H969">
            <v>5.2205815768796704</v>
          </cell>
          <cell r="I969">
            <v>5.2936027291727212</v>
          </cell>
          <cell r="J969">
            <v>4.7178460195981078</v>
          </cell>
        </row>
        <row r="970">
          <cell r="A970" t="str">
            <v>RHEM-SHDEM</v>
          </cell>
          <cell r="B970" t="str">
            <v>VAR_fin</v>
          </cell>
          <cell r="C970" t="str">
            <v>RHEM-SHNGA</v>
          </cell>
          <cell r="D970">
            <v>18.998772953234269</v>
          </cell>
          <cell r="E970">
            <v>19.091885121472394</v>
          </cell>
          <cell r="F970">
            <v>21.062459144791607</v>
          </cell>
          <cell r="G970">
            <v>14.579240996124723</v>
          </cell>
          <cell r="H970">
            <v>8.6764412797145063</v>
          </cell>
          <cell r="I970">
            <v>3.1297551503620507</v>
          </cell>
          <cell r="J970">
            <v>0.98244231837971752</v>
          </cell>
        </row>
        <row r="971">
          <cell r="A971" t="str">
            <v>RHEM-SHDEM</v>
          </cell>
          <cell r="B971" t="str">
            <v>VAR_fin</v>
          </cell>
          <cell r="C971" t="str">
            <v>RHEM-SHELCB</v>
          </cell>
          <cell r="D971">
            <v>4.6274749119612535</v>
          </cell>
          <cell r="E971">
            <v>3.1707061576342119</v>
          </cell>
          <cell r="F971">
            <v>3.7362265210659384E-2</v>
          </cell>
          <cell r="G971">
            <v>1.1405746690344115E-2</v>
          </cell>
          <cell r="H971">
            <v>3.8644317006675576E-3</v>
          </cell>
          <cell r="I971">
            <v>3.0328515048934752E-3</v>
          </cell>
          <cell r="J971">
            <v>2.1862800643656349E-3</v>
          </cell>
        </row>
        <row r="972">
          <cell r="A972" t="str">
            <v>RHEM-SHDEM</v>
          </cell>
          <cell r="B972" t="str">
            <v>VAR_fin</v>
          </cell>
          <cell r="C972" t="str">
            <v>RHEM-SHELCH</v>
          </cell>
          <cell r="D972">
            <v>9.9019350110769384</v>
          </cell>
          <cell r="E972">
            <v>11.655126320336475</v>
          </cell>
          <cell r="F972">
            <v>10.46132273325537</v>
          </cell>
          <cell r="G972">
            <v>19.597079906459719</v>
          </cell>
          <cell r="H972">
            <v>24.008890656633959</v>
          </cell>
          <cell r="I972">
            <v>29.038481010166365</v>
          </cell>
          <cell r="J972">
            <v>28.568525609808241</v>
          </cell>
        </row>
        <row r="973">
          <cell r="A973" t="str">
            <v>RHEM-SHDEM</v>
          </cell>
          <cell r="B973" t="str">
            <v>VAR_fin</v>
          </cell>
          <cell r="C973" t="str">
            <v>RHEM-SHLFO</v>
          </cell>
          <cell r="D973">
            <v>23.44305227798036</v>
          </cell>
          <cell r="E973">
            <v>19.07279269572869</v>
          </cell>
          <cell r="F973">
            <v>20.038654650214326</v>
          </cell>
          <cell r="G973">
            <v>10.137271471820446</v>
          </cell>
          <cell r="H973">
            <v>6.5463234968501771</v>
          </cell>
          <cell r="I973">
            <v>2.2989534374327008</v>
          </cell>
          <cell r="J973">
            <v>0.21564720116253858</v>
          </cell>
        </row>
        <row r="974">
          <cell r="A974" t="str">
            <v>RHEM-SHDEM</v>
          </cell>
          <cell r="B974" t="str">
            <v>VAR_fin</v>
          </cell>
          <cell r="C974" t="str">
            <v>RHEM-SHCON</v>
          </cell>
          <cell r="D974">
            <v>2.060893972228877E-2</v>
          </cell>
          <cell r="E974">
            <v>3.670772986933859</v>
          </cell>
          <cell r="F974">
            <v>2.8615329021389382</v>
          </cell>
          <cell r="G974">
            <v>5.7188230119973298</v>
          </cell>
          <cell r="H974">
            <v>8.3984496091500116</v>
          </cell>
          <cell r="I974">
            <v>10.870325463836037</v>
          </cell>
          <cell r="J974">
            <v>15.425226567050744</v>
          </cell>
        </row>
        <row r="975">
          <cell r="A975" t="str">
            <v>RHEM-SHDEM</v>
          </cell>
          <cell r="B975" t="str">
            <v>VAR_fin</v>
          </cell>
          <cell r="C975" t="str">
            <v>RHEM-SHWOD</v>
          </cell>
          <cell r="D975">
            <v>4.7433737714064277</v>
          </cell>
          <cell r="E975">
            <v>4.2153397310421488</v>
          </cell>
          <cell r="F975">
            <v>5.2404151312528411</v>
          </cell>
          <cell r="G975">
            <v>4.8168328945240511</v>
          </cell>
          <cell r="H975">
            <v>4.2360114865571497</v>
          </cell>
          <cell r="I975">
            <v>3.6413860380168144</v>
          </cell>
          <cell r="J975">
            <v>2.2197563256766628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RHEM-SHLTHC-NGA</v>
          </cell>
          <cell r="D976">
            <v>4.7951749144380475E-2</v>
          </cell>
          <cell r="E976">
            <v>3.851307695632207E-2</v>
          </cell>
          <cell r="G976">
            <v>9.6347032201077562E-7</v>
          </cell>
          <cell r="H976">
            <v>1.2848637947314499E-6</v>
          </cell>
        </row>
        <row r="977">
          <cell r="A977" t="str">
            <v>ITOT-SWHH2BR</v>
          </cell>
          <cell r="B977" t="str">
            <v>VAR_fout</v>
          </cell>
          <cell r="C977" t="str">
            <v>ITOT-SWH</v>
          </cell>
          <cell r="G977">
            <v>1.9262429781348192E-2</v>
          </cell>
          <cell r="H977">
            <v>7.1282191560652901</v>
          </cell>
          <cell r="I977">
            <v>7.1282534172058218</v>
          </cell>
          <cell r="J977">
            <v>7.3990943356654073</v>
          </cell>
        </row>
        <row r="978">
          <cell r="A978" t="str">
            <v>ITOT-SWHH2BR</v>
          </cell>
          <cell r="B978" t="str">
            <v>VAR_fin</v>
          </cell>
          <cell r="C978" t="str">
            <v>IH2</v>
          </cell>
          <cell r="G978">
            <v>2.3928385184634863E-2</v>
          </cell>
          <cell r="H978">
            <v>8.8355594539428939</v>
          </cell>
          <cell r="I978">
            <v>8.8163515450189038</v>
          </cell>
          <cell r="J978">
            <v>9.111628917534027</v>
          </cell>
        </row>
        <row r="979">
          <cell r="A979" t="str">
            <v>ITOT-SWHH2BR</v>
          </cell>
          <cell r="B979" t="str">
            <v>VAR_ncap</v>
          </cell>
          <cell r="C979" t="str">
            <v>-</v>
          </cell>
          <cell r="G979">
            <v>1.5893065445628501E-3</v>
          </cell>
          <cell r="H979">
            <v>0.58109032191696997</v>
          </cell>
          <cell r="I979">
            <v>6.1215580743974797E-2</v>
          </cell>
          <cell r="J979">
            <v>0.32748042717730802</v>
          </cell>
        </row>
        <row r="980">
          <cell r="A980" t="str">
            <v>ITOT-SWHH2BR</v>
          </cell>
          <cell r="B980" t="str">
            <v>VAR_cap</v>
          </cell>
          <cell r="C980" t="str">
            <v>-</v>
          </cell>
          <cell r="G980">
            <v>1.5893065445628501E-3</v>
          </cell>
          <cell r="H980">
            <v>0.58267313557684275</v>
          </cell>
          <cell r="I980">
            <v>0.64337012061493937</v>
          </cell>
          <cell r="J980">
            <v>0.61769019807216963</v>
          </cell>
        </row>
        <row r="981">
          <cell r="A981" t="str">
            <v>RHNS-SHSTG-ELC</v>
          </cell>
          <cell r="B981" t="str">
            <v>VAR_fout</v>
          </cell>
          <cell r="C981" t="str">
            <v>RHNS-SHAELCB</v>
          </cell>
          <cell r="E981">
            <v>1.0604635160548794E-3</v>
          </cell>
          <cell r="F981">
            <v>9.4658694192859482E-4</v>
          </cell>
          <cell r="G981">
            <v>1.7723483353070766E-3</v>
          </cell>
          <cell r="H981">
            <v>1.1008882830880308E-3</v>
          </cell>
          <cell r="I981">
            <v>1.1838144720770912E-3</v>
          </cell>
          <cell r="J981">
            <v>7.4329680149985862E-4</v>
          </cell>
        </row>
        <row r="982">
          <cell r="A982" t="str">
            <v>RHNS-SHSTG-ELC</v>
          </cell>
          <cell r="B982" t="str">
            <v>VAR_fout</v>
          </cell>
          <cell r="C982" t="str">
            <v>AUX_RHNS-SHSTG-ELC_OUT</v>
          </cell>
          <cell r="E982">
            <v>1.0615239795709341E-3</v>
          </cell>
          <cell r="F982">
            <v>9.4753352887052287E-4</v>
          </cell>
          <cell r="G982">
            <v>1.7741206836423824E-3</v>
          </cell>
          <cell r="H982">
            <v>1.1019891713711185E-3</v>
          </cell>
          <cell r="I982">
            <v>1.1849982865491685E-3</v>
          </cell>
          <cell r="J982">
            <v>7.4404009830135855E-4</v>
          </cell>
        </row>
        <row r="983">
          <cell r="A983" t="str">
            <v>RHNS-SHSTG-ELC</v>
          </cell>
          <cell r="B983" t="str">
            <v>VAR_fin</v>
          </cell>
          <cell r="C983" t="str">
            <v>RHNS-SHAELCB</v>
          </cell>
          <cell r="E983">
            <v>1.0567208009795736E-3</v>
          </cell>
          <cell r="F983">
            <v>9.4303264340818709E-4</v>
          </cell>
          <cell r="G983">
            <v>1.7689236684718058E-3</v>
          </cell>
          <cell r="H983">
            <v>1.099315255071004E-3</v>
          </cell>
          <cell r="I983">
            <v>1.183314265253697E-3</v>
          </cell>
          <cell r="J983">
            <v>7.433004565164064E-4</v>
          </cell>
        </row>
        <row r="984">
          <cell r="A984" t="str">
            <v>RHNS-SHSTG-ELC</v>
          </cell>
          <cell r="B984" t="str">
            <v>VAR_ncap</v>
          </cell>
          <cell r="C984" t="str">
            <v>-</v>
          </cell>
          <cell r="D984">
            <v>7.2497017423544602E-5</v>
          </cell>
          <cell r="E984">
            <v>1.41792236219903E-4</v>
          </cell>
          <cell r="F984">
            <v>7.2891507749995297E-4</v>
          </cell>
          <cell r="G984">
            <v>3.5638813012602702E-5</v>
          </cell>
          <cell r="H984">
            <v>7.8471914042494594E-5</v>
          </cell>
          <cell r="I984">
            <v>1.2617402985982601E-4</v>
          </cell>
          <cell r="J984">
            <v>3.4872837768494301E-5</v>
          </cell>
        </row>
        <row r="985">
          <cell r="A985" t="str">
            <v>RHNS-SHSTG-ELC</v>
          </cell>
          <cell r="B985" t="str">
            <v>VAR_cap</v>
          </cell>
          <cell r="C985" t="str">
            <v>-</v>
          </cell>
          <cell r="D985">
            <v>7.2497017423544602E-5</v>
          </cell>
          <cell r="E985">
            <v>2.0868405050693191E-4</v>
          </cell>
          <cell r="F985">
            <v>9.1500445914494512E-4</v>
          </cell>
          <cell r="G985">
            <v>9.1382597330903672E-4</v>
          </cell>
          <cell r="H985">
            <v>7.5613959964716392E-4</v>
          </cell>
          <cell r="I985">
            <v>2.8955778766331171E-4</v>
          </cell>
          <cell r="J985">
            <v>1.223827946047293E-4</v>
          </cell>
        </row>
        <row r="986">
          <cell r="A986" t="str">
            <v>RHES-SHCOABR</v>
          </cell>
          <cell r="B986" t="str">
            <v>VAR_fout</v>
          </cell>
          <cell r="C986" t="str">
            <v>CO2_R</v>
          </cell>
          <cell r="D986">
            <v>9.2701156909223208</v>
          </cell>
          <cell r="E986">
            <v>9.2700589259654098</v>
          </cell>
          <cell r="F986">
            <v>2.4030201596098801</v>
          </cell>
          <cell r="G986">
            <v>4.3215798674320599E-2</v>
          </cell>
        </row>
        <row r="987">
          <cell r="A987" t="str">
            <v>RHES-SHCOABR</v>
          </cell>
          <cell r="B987" t="str">
            <v>VAR_fout</v>
          </cell>
          <cell r="C987" t="str">
            <v>RHES-SHCOA</v>
          </cell>
          <cell r="D987">
            <v>7.2000898570270519E-2</v>
          </cell>
          <cell r="E987">
            <v>7.2000457677401222E-2</v>
          </cell>
          <cell r="F987">
            <v>2.0720137398480269E-2</v>
          </cell>
          <cell r="G987">
            <v>3.729518763695409E-4</v>
          </cell>
        </row>
        <row r="988">
          <cell r="A988" t="str">
            <v>RHES-SHCOABR</v>
          </cell>
          <cell r="B988" t="str">
            <v>VAR_fin</v>
          </cell>
          <cell r="C988" t="str">
            <v>RCOA</v>
          </cell>
          <cell r="D988">
            <v>0.1000012480142646</v>
          </cell>
          <cell r="E988">
            <v>0.10000063566305728</v>
          </cell>
          <cell r="F988">
            <v>2.5922547568607145E-2</v>
          </cell>
          <cell r="G988">
            <v>4.6618984546192637E-4</v>
          </cell>
        </row>
        <row r="989">
          <cell r="A989" t="str">
            <v>RHES-SHCOABR</v>
          </cell>
          <cell r="B989" t="str">
            <v>VAR_cap</v>
          </cell>
          <cell r="C989" t="str">
            <v>-</v>
          </cell>
          <cell r="D989">
            <v>7.0000000000000001E-3</v>
          </cell>
          <cell r="E989">
            <v>6.9551746368697216E-3</v>
          </cell>
          <cell r="F989">
            <v>2.62374523437949E-3</v>
          </cell>
          <cell r="G989">
            <v>5.2371564329719948E-5</v>
          </cell>
          <cell r="H989">
            <v>2.4740534040599595E-6</v>
          </cell>
        </row>
        <row r="990">
          <cell r="A990" t="str">
            <v>D-INGA</v>
          </cell>
          <cell r="B990" t="str">
            <v>VAR_fout</v>
          </cell>
          <cell r="C990" t="str">
            <v>CO2</v>
          </cell>
          <cell r="D990">
            <v>2101.9963012756698</v>
          </cell>
          <cell r="E990">
            <v>1837.04520511803</v>
          </cell>
          <cell r="F990">
            <v>1884.4161375675301</v>
          </cell>
          <cell r="G990">
            <v>1324.33922793749</v>
          </cell>
          <cell r="H990">
            <v>605.42176077214799</v>
          </cell>
          <cell r="I990">
            <v>373.63499836462699</v>
          </cell>
          <cell r="J990">
            <v>61.2307635489097</v>
          </cell>
        </row>
        <row r="991">
          <cell r="A991" t="str">
            <v>D-INGA</v>
          </cell>
          <cell r="B991" t="str">
            <v>VAR_fout</v>
          </cell>
          <cell r="C991" t="str">
            <v>IH2</v>
          </cell>
          <cell r="G991">
            <v>9.2632700323708378E-2</v>
          </cell>
          <cell r="H991">
            <v>0.34172576525680548</v>
          </cell>
          <cell r="I991">
            <v>0.22392915097491456</v>
          </cell>
          <cell r="J991">
            <v>0.10821327465745581</v>
          </cell>
        </row>
        <row r="992">
          <cell r="A992" t="str">
            <v>D-INGA</v>
          </cell>
          <cell r="B992" t="str">
            <v>VAR_fout</v>
          </cell>
          <cell r="C992" t="str">
            <v>INGA</v>
          </cell>
          <cell r="D992">
            <v>37.47663594044554</v>
          </cell>
          <cell r="E992">
            <v>32.468125775863371</v>
          </cell>
          <cell r="F992">
            <v>35.735566984568884</v>
          </cell>
          <cell r="G992">
            <v>25.847743004470814</v>
          </cell>
          <cell r="H992">
            <v>13.140780246401018</v>
          </cell>
          <cell r="I992">
            <v>9.04453131905181</v>
          </cell>
          <cell r="J992">
            <v>3.5234478837549519</v>
          </cell>
        </row>
        <row r="993">
          <cell r="A993" t="str">
            <v>D-INGA</v>
          </cell>
          <cell r="B993" t="str">
            <v>VAR_fin</v>
          </cell>
          <cell r="C993" t="str">
            <v>NGA</v>
          </cell>
          <cell r="D993">
            <v>37.269437965880591</v>
          </cell>
          <cell r="E993">
            <v>32.571723495000519</v>
          </cell>
          <cell r="F993">
            <v>33.411633644814401</v>
          </cell>
          <cell r="G993">
            <v>23.481191984707319</v>
          </cell>
          <cell r="H993">
            <v>10.734428382484911</v>
          </cell>
          <cell r="I993">
            <v>6.624734013557215</v>
          </cell>
          <cell r="J993">
            <v>1.0856518359735756</v>
          </cell>
        </row>
        <row r="994">
          <cell r="A994" t="str">
            <v>D-INGA</v>
          </cell>
          <cell r="B994" t="str">
            <v>VAR_fin</v>
          </cell>
          <cell r="C994" t="str">
            <v>BNGA</v>
          </cell>
          <cell r="D994">
            <v>0.32692156983496323</v>
          </cell>
          <cell r="E994">
            <v>1.6280872324424606E-4</v>
          </cell>
          <cell r="F994">
            <v>2.4380948820338948</v>
          </cell>
          <cell r="G994">
            <v>2.4494671783970818</v>
          </cell>
          <cell r="H994">
            <v>2.4494683605198557</v>
          </cell>
          <cell r="I994">
            <v>2.4494692112324432</v>
          </cell>
          <cell r="J994">
            <v>2.4494688032118352</v>
          </cell>
        </row>
        <row r="995">
          <cell r="A995" t="str">
            <v>D-INGA</v>
          </cell>
          <cell r="B995" t="str">
            <v>VAR_fin</v>
          </cell>
          <cell r="C995" t="str">
            <v>H2</v>
          </cell>
          <cell r="G995">
            <v>9.2632072383369748E-2</v>
          </cell>
          <cell r="H995">
            <v>0.34172516470161879</v>
          </cell>
          <cell r="I995">
            <v>0.22392915025554946</v>
          </cell>
          <cell r="J995">
            <v>0.10820515505223424</v>
          </cell>
        </row>
        <row r="996">
          <cell r="A996" t="str">
            <v>D-INGA</v>
          </cell>
          <cell r="B996" t="str">
            <v>VAR_ncap</v>
          </cell>
          <cell r="C996" t="str">
            <v>-</v>
          </cell>
          <cell r="D996">
            <v>1.43385467024082E-6</v>
          </cell>
          <cell r="E996">
            <v>5.1782735898806899E-7</v>
          </cell>
          <cell r="F996">
            <v>6.67062546443028E-7</v>
          </cell>
          <cell r="G996">
            <v>1.02885962837948E-6</v>
          </cell>
          <cell r="H996">
            <v>4.4584760182467896E-6</v>
          </cell>
          <cell r="I996">
            <v>3.0931553063890602E-6</v>
          </cell>
          <cell r="J996">
            <v>1.0519558067122199E-5</v>
          </cell>
        </row>
        <row r="997">
          <cell r="A997" t="str">
            <v>D-INGA</v>
          </cell>
          <cell r="B997" t="str">
            <v>VAR_cap</v>
          </cell>
          <cell r="C997" t="str">
            <v>-</v>
          </cell>
          <cell r="D997">
            <v>1.9844848041207703</v>
          </cell>
          <cell r="E997">
            <v>1.9844853219481293</v>
          </cell>
          <cell r="F997">
            <v>1.9844859890106756</v>
          </cell>
          <cell r="G997">
            <v>1.984487017870304</v>
          </cell>
          <cell r="H997">
            <v>1.9844914763463224</v>
          </cell>
          <cell r="I997">
            <v>1.9844945695016287</v>
          </cell>
          <cell r="J997">
            <v>1.0954811562395157</v>
          </cell>
        </row>
        <row r="998">
          <cell r="A998" t="str">
            <v>RHEM-SHNGAHP</v>
          </cell>
          <cell r="B998" t="str">
            <v>VAR_fout</v>
          </cell>
          <cell r="C998" t="str">
            <v>CO2_R</v>
          </cell>
          <cell r="F998">
            <v>53.5884265591069</v>
          </cell>
          <cell r="G998">
            <v>89.350608850374897</v>
          </cell>
          <cell r="H998">
            <v>108.365514532584</v>
          </cell>
          <cell r="I998">
            <v>130.36228120253199</v>
          </cell>
          <cell r="J998">
            <v>108.71089950113399</v>
          </cell>
        </row>
        <row r="999">
          <cell r="A999" t="str">
            <v>RHEM-SHNGAHP</v>
          </cell>
          <cell r="B999" t="str">
            <v>VAR_fout</v>
          </cell>
          <cell r="C999" t="str">
            <v>RHEM-SHANGAH</v>
          </cell>
          <cell r="F999">
            <v>1.7926512551652096</v>
          </cell>
          <cell r="G999">
            <v>3.0984454202950356</v>
          </cell>
          <cell r="H999">
            <v>3.8336167723811467</v>
          </cell>
          <cell r="I999">
            <v>4.6965595555197437</v>
          </cell>
          <cell r="J999">
            <v>4.0956723420236516</v>
          </cell>
        </row>
        <row r="1000">
          <cell r="A1000" t="str">
            <v>RHEM-SHNGAHP</v>
          </cell>
          <cell r="B1000" t="str">
            <v>VAR_fin</v>
          </cell>
          <cell r="C1000" t="str">
            <v>RHEMELCHPC</v>
          </cell>
          <cell r="F1000">
            <v>1.7926512551652096</v>
          </cell>
          <cell r="G1000">
            <v>3.0984454202950356</v>
          </cell>
          <cell r="H1000">
            <v>3.8336167723811467</v>
          </cell>
          <cell r="I1000">
            <v>4.6965595555197437</v>
          </cell>
          <cell r="J1000">
            <v>4.0956723420236516</v>
          </cell>
        </row>
        <row r="1001">
          <cell r="A1001" t="str">
            <v>RHEM-SHNGAHP</v>
          </cell>
          <cell r="B1001" t="str">
            <v>VAR_fin</v>
          </cell>
          <cell r="C1001" t="str">
            <v>RNGA</v>
          </cell>
          <cell r="F1001">
            <v>0.95014940707636375</v>
          </cell>
          <cell r="G1001">
            <v>1.5842306533754411</v>
          </cell>
          <cell r="H1001">
            <v>1.9213743711451083</v>
          </cell>
          <cell r="I1001">
            <v>2.3113879645839059</v>
          </cell>
          <cell r="J1001">
            <v>1.9274982181052152</v>
          </cell>
        </row>
        <row r="1002">
          <cell r="A1002" t="str">
            <v>RHEM-SHNGAHP</v>
          </cell>
          <cell r="B1002" t="str">
            <v>VAR_ncap</v>
          </cell>
          <cell r="C1002" t="str">
            <v>-</v>
          </cell>
          <cell r="D1002">
            <v>1.48485221251809E-7</v>
          </cell>
          <cell r="E1002">
            <v>3.2148604055768198E-7</v>
          </cell>
          <cell r="F1002">
            <v>0.12662018645520701</v>
          </cell>
          <cell r="G1002">
            <v>9.21810942739201E-2</v>
          </cell>
          <cell r="H1002">
            <v>5.1942164379034199E-2</v>
          </cell>
          <cell r="I1002">
            <v>0.19435014622227301</v>
          </cell>
          <cell r="J1002">
            <v>0.126726664017589</v>
          </cell>
        </row>
        <row r="1003">
          <cell r="A1003" t="str">
            <v>RHEM-SHNGAHP</v>
          </cell>
          <cell r="B1003" t="str">
            <v>VAR_cap</v>
          </cell>
          <cell r="C1003" t="str">
            <v>-</v>
          </cell>
          <cell r="D1003">
            <v>1.48485221251809E-7</v>
          </cell>
          <cell r="E1003">
            <v>2.5397694081527198E-7</v>
          </cell>
          <cell r="F1003">
            <v>0.12662038000406675</v>
          </cell>
          <cell r="G1003">
            <v>0.21880151864373074</v>
          </cell>
          <cell r="H1003">
            <v>0.2707430694292654</v>
          </cell>
          <cell r="I1003">
            <v>0.33167756380766655</v>
          </cell>
          <cell r="J1003">
            <v>0.28974418569835031</v>
          </cell>
        </row>
        <row r="1004">
          <cell r="A1004" t="str">
            <v>D-SPLT</v>
          </cell>
          <cell r="B1004" t="str">
            <v>VAR_fout</v>
          </cell>
          <cell r="C1004" t="str">
            <v>SPLT</v>
          </cell>
          <cell r="D1004">
            <v>2.0856364051966532</v>
          </cell>
          <cell r="E1004">
            <v>2.4000932528858097</v>
          </cell>
          <cell r="F1004">
            <v>1.0004291084944199</v>
          </cell>
          <cell r="G1004">
            <v>1.2392968316166877</v>
          </cell>
          <cell r="H1004">
            <v>1.3468856358119332</v>
          </cell>
          <cell r="I1004">
            <v>1.4543390712930571</v>
          </cell>
          <cell r="J1004">
            <v>1.2189276613157825</v>
          </cell>
        </row>
        <row r="1005">
          <cell r="A1005" t="str">
            <v>D-SPLT</v>
          </cell>
          <cell r="B1005" t="str">
            <v>VAR_fin</v>
          </cell>
          <cell r="C1005" t="str">
            <v>PLT</v>
          </cell>
          <cell r="D1005">
            <v>2.0856364051966532</v>
          </cell>
          <cell r="E1005">
            <v>2.4000932528858097</v>
          </cell>
          <cell r="F1005">
            <v>1.0004291084944199</v>
          </cell>
          <cell r="G1005">
            <v>1.2392968316166877</v>
          </cell>
          <cell r="H1005">
            <v>1.3468856358119332</v>
          </cell>
          <cell r="I1005">
            <v>1.4543390712930571</v>
          </cell>
          <cell r="J1005">
            <v>1.2189276613157825</v>
          </cell>
        </row>
        <row r="1006">
          <cell r="A1006" t="str">
            <v>RHES-SHCONBR</v>
          </cell>
          <cell r="B1006" t="str">
            <v>VAR_fout</v>
          </cell>
          <cell r="C1006" t="str">
            <v>RHES-SHCON</v>
          </cell>
          <cell r="F1006">
            <v>1.0651028316669203E-4</v>
          </cell>
          <cell r="G1006">
            <v>9.454688939593674E-5</v>
          </cell>
          <cell r="H1006">
            <v>1.9342991751482446E-4</v>
          </cell>
          <cell r="I1006">
            <v>1.8936112919658481E-4</v>
          </cell>
          <cell r="J1006">
            <v>2.0395116257731759E-4</v>
          </cell>
        </row>
        <row r="1007">
          <cell r="A1007" t="str">
            <v>RHES-SHCONBR</v>
          </cell>
          <cell r="B1007" t="str">
            <v>VAR_fin</v>
          </cell>
          <cell r="C1007" t="str">
            <v>CON</v>
          </cell>
          <cell r="F1007">
            <v>1.0651028316669203E-4</v>
          </cell>
          <cell r="G1007">
            <v>9.454688939593674E-5</v>
          </cell>
          <cell r="H1007">
            <v>1.9342991751482446E-4</v>
          </cell>
          <cell r="I1007">
            <v>1.8936112919658481E-4</v>
          </cell>
          <cell r="J1007">
            <v>2.0395116257731759E-4</v>
          </cell>
        </row>
        <row r="1008">
          <cell r="A1008" t="str">
            <v>RHES-SHCONBR</v>
          </cell>
          <cell r="B1008" t="str">
            <v>VAR_ncap</v>
          </cell>
          <cell r="C1008" t="str">
            <v>-</v>
          </cell>
          <cell r="E1008">
            <v>3.3158632555036597E-8</v>
          </cell>
          <cell r="F1008">
            <v>6.7253037540677403E-6</v>
          </cell>
          <cell r="G1008">
            <v>8.8332834722832699E-8</v>
          </cell>
          <cell r="H1008">
            <v>7.72470392476703E-6</v>
          </cell>
          <cell r="I1008">
            <v>3.7263360696703001E-7</v>
          </cell>
          <cell r="J1008">
            <v>5.1948424252280904E-7</v>
          </cell>
        </row>
        <row r="1009">
          <cell r="A1009" t="str">
            <v>RHES-SHCONBR</v>
          </cell>
          <cell r="B1009" t="str">
            <v>VAR_cap</v>
          </cell>
          <cell r="C1009" t="str">
            <v>-</v>
          </cell>
          <cell r="E1009">
            <v>3.3158632555036597E-8</v>
          </cell>
          <cell r="F1009">
            <v>6.7372315367375214E-6</v>
          </cell>
          <cell r="G1009">
            <v>6.8059966820543899E-6</v>
          </cell>
          <cell r="H1009">
            <v>1.4494994191549684E-5</v>
          </cell>
          <cell r="I1009">
            <v>1.4843476538409173E-5</v>
          </cell>
          <cell r="J1009">
            <v>1.5463616995602498E-5</v>
          </cell>
        </row>
        <row r="1010">
          <cell r="A1010" t="str">
            <v>RHSA-WHSOLBR</v>
          </cell>
          <cell r="B1010" t="str">
            <v>VAR_fout</v>
          </cell>
          <cell r="C1010" t="str">
            <v>RHSA-WHASOL</v>
          </cell>
          <cell r="D1010">
            <v>1.721488024659851</v>
          </cell>
          <cell r="E1010">
            <v>1.9867354090041902</v>
          </cell>
          <cell r="F1010">
            <v>0.95046759302000883</v>
          </cell>
          <cell r="G1010">
            <v>1.2517690139219557</v>
          </cell>
          <cell r="H1010">
            <v>1.4503685208530697</v>
          </cell>
          <cell r="I1010">
            <v>1.7173194984049491</v>
          </cell>
          <cell r="J1010">
            <v>1.9393073486446022</v>
          </cell>
        </row>
        <row r="1011">
          <cell r="A1011" t="str">
            <v>RHSA-WHSOLBR</v>
          </cell>
          <cell r="B1011" t="str">
            <v>VAR_fin</v>
          </cell>
          <cell r="C1011" t="str">
            <v>SOL</v>
          </cell>
          <cell r="D1011">
            <v>1.721488024659851</v>
          </cell>
          <cell r="E1011">
            <v>1.9867354090041902</v>
          </cell>
          <cell r="F1011">
            <v>0.95046759302000883</v>
          </cell>
          <cell r="G1011">
            <v>1.2517690139219557</v>
          </cell>
          <cell r="H1011">
            <v>1.4503685208530697</v>
          </cell>
          <cell r="I1011">
            <v>1.7173194984049491</v>
          </cell>
          <cell r="J1011">
            <v>1.9393073486446022</v>
          </cell>
        </row>
        <row r="1012">
          <cell r="A1012" t="str">
            <v>RHSA-WHSOLBR</v>
          </cell>
          <cell r="B1012" t="str">
            <v>VAR_fin</v>
          </cell>
          <cell r="C1012" t="str">
            <v>RHSASOLBRC</v>
          </cell>
          <cell r="D1012">
            <v>1.721488024659851</v>
          </cell>
          <cell r="E1012">
            <v>1.9867354090041902</v>
          </cell>
          <cell r="F1012">
            <v>0.95046759302000883</v>
          </cell>
          <cell r="G1012">
            <v>1.2517690139219557</v>
          </cell>
          <cell r="H1012">
            <v>1.4503685208530697</v>
          </cell>
          <cell r="I1012">
            <v>1.7173194984049491</v>
          </cell>
          <cell r="J1012">
            <v>1.9393073486446022</v>
          </cell>
        </row>
        <row r="1013">
          <cell r="A1013" t="str">
            <v>RHSA-WHSOLBR</v>
          </cell>
          <cell r="B1013" t="str">
            <v>VAR_ncap</v>
          </cell>
          <cell r="C1013" t="str">
            <v>-</v>
          </cell>
          <cell r="E1013">
            <v>8.2498489235336495E-2</v>
          </cell>
          <cell r="F1013">
            <v>7.3637873537376398E-7</v>
          </cell>
          <cell r="G1013">
            <v>2.8555492063189901E-6</v>
          </cell>
          <cell r="H1013">
            <v>0.25021091229507397</v>
          </cell>
          <cell r="I1013">
            <v>0.189708011171042</v>
          </cell>
          <cell r="J1013">
            <v>0.26177207932127</v>
          </cell>
        </row>
        <row r="1014">
          <cell r="A1014" t="str">
            <v>RHSA-WHSOLBR</v>
          </cell>
          <cell r="B1014" t="str">
            <v>VAR_cap</v>
          </cell>
          <cell r="C1014" t="str">
            <v>-</v>
          </cell>
          <cell r="D1014">
            <v>0.25000991745774798</v>
          </cell>
          <cell r="E1014">
            <v>0.33250828601267401</v>
          </cell>
          <cell r="F1014">
            <v>0.33250673218945737</v>
          </cell>
          <cell r="G1014">
            <v>0.33251053552514792</v>
          </cell>
          <cell r="H1014">
            <v>0.35731626758964036</v>
          </cell>
          <cell r="I1014">
            <v>0.43992028123776405</v>
          </cell>
          <cell r="J1014">
            <v>0.50528706433904969</v>
          </cell>
        </row>
        <row r="1015">
          <cell r="A1015" t="str">
            <v>SCOM-SHCONBR</v>
          </cell>
          <cell r="B1015" t="str">
            <v>VAR_ncap</v>
          </cell>
          <cell r="C1015" t="str">
            <v>-</v>
          </cell>
          <cell r="J1015">
            <v>1.23681803562425E-8</v>
          </cell>
        </row>
        <row r="1016">
          <cell r="A1016" t="str">
            <v>SCOM-SHCONBR</v>
          </cell>
          <cell r="B1016" t="str">
            <v>VAR_cap</v>
          </cell>
          <cell r="C1016" t="str">
            <v>-</v>
          </cell>
          <cell r="E1016">
            <v>-8.5907665849985605E-8</v>
          </cell>
          <cell r="F1016">
            <v>-2.20052467504714E-7</v>
          </cell>
          <cell r="G1016">
            <v>-9.3123248368794498E-8</v>
          </cell>
          <cell r="H1016">
            <v>-1.09335105519455E-7</v>
          </cell>
          <cell r="I1016">
            <v>-1.2183843709012799E-7</v>
          </cell>
          <cell r="J1016">
            <v>1.23681803562425E-8</v>
          </cell>
        </row>
        <row r="1017">
          <cell r="A1017" t="str">
            <v>RHNM-SHNGABR</v>
          </cell>
          <cell r="B1017" t="str">
            <v>VAR_fout</v>
          </cell>
          <cell r="C1017" t="str">
            <v>CO2_R</v>
          </cell>
          <cell r="E1017">
            <v>43.0990711362141</v>
          </cell>
          <cell r="F1017">
            <v>5.83404627454264</v>
          </cell>
          <cell r="G1017">
            <v>6.67182253621489</v>
          </cell>
          <cell r="H1017">
            <v>6.5571182224608897</v>
          </cell>
          <cell r="I1017">
            <v>3.5442569695030999</v>
          </cell>
        </row>
        <row r="1018">
          <cell r="A1018" t="str">
            <v>RHNM-SHNGABR</v>
          </cell>
          <cell r="B1018" t="str">
            <v>VAR_fout</v>
          </cell>
          <cell r="C1018" t="str">
            <v>RHNM-SHNGA</v>
          </cell>
          <cell r="E1018">
            <v>0.72595953154970461</v>
          </cell>
          <cell r="F1018">
            <v>9.9277965477642838E-2</v>
          </cell>
          <cell r="G1018">
            <v>0.11353440412593013</v>
          </cell>
          <cell r="H1018">
            <v>0.11158248081831139</v>
          </cell>
          <cell r="I1018">
            <v>6.0312620864463248E-2</v>
          </cell>
        </row>
        <row r="1019">
          <cell r="A1019" t="str">
            <v>RHNM-SHNGABR</v>
          </cell>
          <cell r="B1019" t="str">
            <v>VAR_fin</v>
          </cell>
          <cell r="C1019" t="str">
            <v>RNGA</v>
          </cell>
          <cell r="E1019">
            <v>0.76416792794705801</v>
          </cell>
          <cell r="F1019">
            <v>0.10344053678267079</v>
          </cell>
          <cell r="G1019">
            <v>0.11829472581941287</v>
          </cell>
          <cell r="H1019">
            <v>0.11626096139115051</v>
          </cell>
          <cell r="I1019">
            <v>6.2841435629487644E-2</v>
          </cell>
        </row>
        <row r="1020">
          <cell r="A1020" t="str">
            <v>RHNM-SHNGABR</v>
          </cell>
          <cell r="B1020" t="str">
            <v>VAR_ncap</v>
          </cell>
          <cell r="C1020" t="str">
            <v>-</v>
          </cell>
          <cell r="E1020">
            <v>5.6387292003015697E-2</v>
          </cell>
          <cell r="F1020">
            <v>1.0420215283527201E-6</v>
          </cell>
          <cell r="G1020">
            <v>1.58858724777695E-6</v>
          </cell>
          <cell r="H1020">
            <v>2.3600314842800801E-5</v>
          </cell>
          <cell r="I1020">
            <v>4.7370383626496601E-3</v>
          </cell>
          <cell r="J1020">
            <v>2.9119156788649798E-7</v>
          </cell>
        </row>
        <row r="1021">
          <cell r="A1021" t="str">
            <v>RHNM-SHNGABR</v>
          </cell>
          <cell r="B1021" t="str">
            <v>VAR_cap</v>
          </cell>
          <cell r="C1021" t="str">
            <v>-</v>
          </cell>
          <cell r="E1021">
            <v>5.6387292003015697E-2</v>
          </cell>
          <cell r="F1021">
            <v>1.9431922696391803E-2</v>
          </cell>
          <cell r="G1021">
            <v>1.93328865051028E-2</v>
          </cell>
          <cell r="H1021">
            <v>9.9239994236874005E-3</v>
          </cell>
          <cell r="I1021">
            <v>4.7612421925804843E-3</v>
          </cell>
          <cell r="J1021">
            <v>1.4221328682650133E-5</v>
          </cell>
        </row>
        <row r="1022">
          <cell r="A1022" t="str">
            <v>RHES-SHSOLBR</v>
          </cell>
          <cell r="B1022" t="str">
            <v>VAR_fout</v>
          </cell>
          <cell r="C1022" t="str">
            <v>RHES-SHASOL</v>
          </cell>
          <cell r="D1022">
            <v>0.37732610756439694</v>
          </cell>
          <cell r="E1022">
            <v>0.43546865149829622</v>
          </cell>
          <cell r="F1022">
            <v>2.3141091576838919E-2</v>
          </cell>
          <cell r="G1022">
            <v>2.6268245206389085E-2</v>
          </cell>
          <cell r="H1022">
            <v>2.6956838762631885E-2</v>
          </cell>
          <cell r="I1022">
            <v>2.7429698129031243E-2</v>
          </cell>
          <cell r="J1022">
            <v>2.6721260648454575E-2</v>
          </cell>
        </row>
        <row r="1023">
          <cell r="A1023" t="str">
            <v>RHES-SHSOLBR</v>
          </cell>
          <cell r="B1023" t="str">
            <v>VAR_fin</v>
          </cell>
          <cell r="C1023" t="str">
            <v>SOL</v>
          </cell>
          <cell r="D1023">
            <v>0.37732610756439694</v>
          </cell>
          <cell r="E1023">
            <v>0.43546865149829622</v>
          </cell>
          <cell r="F1023">
            <v>2.3141091576838919E-2</v>
          </cell>
          <cell r="G1023">
            <v>2.6268245206389085E-2</v>
          </cell>
          <cell r="H1023">
            <v>2.6956838762631885E-2</v>
          </cell>
          <cell r="I1023">
            <v>2.7429698129031243E-2</v>
          </cell>
          <cell r="J1023">
            <v>2.6721260648454575E-2</v>
          </cell>
        </row>
        <row r="1024">
          <cell r="A1024" t="str">
            <v>RHES-SHSOLBR</v>
          </cell>
          <cell r="B1024" t="str">
            <v>VAR_ncap</v>
          </cell>
          <cell r="C1024" t="str">
            <v>-</v>
          </cell>
          <cell r="E1024">
            <v>8.4524762833445705E-3</v>
          </cell>
          <cell r="F1024">
            <v>1.8316849212265601E-7</v>
          </cell>
          <cell r="G1024">
            <v>3.2483569278922002E-7</v>
          </cell>
          <cell r="H1024">
            <v>1.3510859212369701E-6</v>
          </cell>
          <cell r="I1024">
            <v>4.0234862594289598E-3</v>
          </cell>
          <cell r="J1024">
            <v>9.8785889478922089E-4</v>
          </cell>
        </row>
        <row r="1025">
          <cell r="A1025" t="str">
            <v>RHES-SHSOLBR</v>
          </cell>
          <cell r="B1025" t="str">
            <v>VAR_cap</v>
          </cell>
          <cell r="C1025" t="str">
            <v>-</v>
          </cell>
          <cell r="D1025">
            <v>5.4798678617278197E-2</v>
          </cell>
          <cell r="E1025">
            <v>6.3251101859098255E-2</v>
          </cell>
          <cell r="F1025">
            <v>6.3248543035236374E-2</v>
          </cell>
          <cell r="G1025">
            <v>6.3248580963571541E-2</v>
          </cell>
          <cell r="H1025">
            <v>1.8497730618871458E-2</v>
          </cell>
          <cell r="I1025">
            <v>4.024719765147176E-3</v>
          </cell>
          <cell r="J1025">
            <v>3.9082435478302539E-3</v>
          </cell>
        </row>
        <row r="1026">
          <cell r="A1026" t="str">
            <v>SCOM-SHSOLBR</v>
          </cell>
          <cell r="B1026" t="str">
            <v>VAR_fout</v>
          </cell>
          <cell r="C1026" t="str">
            <v>SCOM-SHASOL</v>
          </cell>
          <cell r="D1026">
            <v>0.62700122408148329</v>
          </cell>
          <cell r="E1026">
            <v>0.68733971801391502</v>
          </cell>
          <cell r="F1026">
            <v>0.56365441229425606</v>
          </cell>
          <cell r="G1026">
            <v>0.76022353282875832</v>
          </cell>
          <cell r="H1026">
            <v>0.89834637766159176</v>
          </cell>
          <cell r="I1026">
            <v>1.1057107254693677</v>
          </cell>
          <cell r="J1026">
            <v>1.2662948821905418</v>
          </cell>
        </row>
        <row r="1027">
          <cell r="A1027" t="str">
            <v>SCOM-SHSOLBR</v>
          </cell>
          <cell r="B1027" t="str">
            <v>VAR_fin</v>
          </cell>
          <cell r="C1027" t="str">
            <v>SOL</v>
          </cell>
          <cell r="D1027">
            <v>0.62700122408148329</v>
          </cell>
          <cell r="E1027">
            <v>0.68733971801391502</v>
          </cell>
          <cell r="F1027">
            <v>0.56365441229425606</v>
          </cell>
          <cell r="G1027">
            <v>0.76022353282875832</v>
          </cell>
          <cell r="H1027">
            <v>0.89834637766159176</v>
          </cell>
          <cell r="I1027">
            <v>1.1057107254693677</v>
          </cell>
          <cell r="J1027">
            <v>1.2662948821905418</v>
          </cell>
        </row>
        <row r="1028">
          <cell r="A1028" t="str">
            <v>SCOM-SHSOLBR</v>
          </cell>
          <cell r="B1028" t="str">
            <v>VAR_ncap</v>
          </cell>
          <cell r="C1028" t="str">
            <v>-</v>
          </cell>
          <cell r="D1028">
            <v>2.3703111814219199E-5</v>
          </cell>
          <cell r="E1028">
            <v>8.7625227765681692E-3</v>
          </cell>
          <cell r="F1028">
            <v>1.3418368414647999E-6</v>
          </cell>
          <cell r="G1028">
            <v>1.2172349926249E-2</v>
          </cell>
          <cell r="H1028">
            <v>9.0257212645699095E-2</v>
          </cell>
          <cell r="I1028">
            <v>6.3406417075449098E-2</v>
          </cell>
          <cell r="J1028">
            <v>0.11536872518435599</v>
          </cell>
        </row>
        <row r="1029">
          <cell r="A1029" t="str">
            <v>SCOM-SHSOLBR</v>
          </cell>
          <cell r="B1029" t="str">
            <v>VAR_cap</v>
          </cell>
          <cell r="C1029" t="str">
            <v>-</v>
          </cell>
          <cell r="D1029">
            <v>9.1081296587893726E-2</v>
          </cell>
          <cell r="E1029">
            <v>9.9843699238475705E-2</v>
          </cell>
          <cell r="F1029">
            <v>9.9843559703485074E-2</v>
          </cell>
          <cell r="G1029">
            <v>0.11201656897609218</v>
          </cell>
          <cell r="H1029">
            <v>0.13053932306200952</v>
          </cell>
          <cell r="I1029">
            <v>0.16197669176650675</v>
          </cell>
          <cell r="J1029">
            <v>0.19956285536258853</v>
          </cell>
        </row>
        <row r="1030">
          <cell r="A1030" t="str">
            <v>RHEM-SHSTG-ELCHP</v>
          </cell>
          <cell r="B1030" t="str">
            <v>VAR_fout</v>
          </cell>
          <cell r="C1030" t="str">
            <v>RHEM-SHAELCH</v>
          </cell>
          <cell r="D1030">
            <v>1.7473025676405667</v>
          </cell>
          <cell r="E1030">
            <v>1.7007598117532305</v>
          </cell>
          <cell r="F1030">
            <v>1.8274124357405765</v>
          </cell>
          <cell r="G1030">
            <v>2.8272685074595234</v>
          </cell>
          <cell r="H1030">
            <v>3.6295906545961354</v>
          </cell>
          <cell r="I1030">
            <v>4.9581710698531261</v>
          </cell>
          <cell r="J1030">
            <v>4.5179225320694982</v>
          </cell>
        </row>
        <row r="1031">
          <cell r="A1031" t="str">
            <v>RHEM-SHSTG-ELCHP</v>
          </cell>
          <cell r="B1031" t="str">
            <v>VAR_fout</v>
          </cell>
          <cell r="C1031" t="str">
            <v>AUX_RHEM-SHSTG-ELCHP_OUT</v>
          </cell>
          <cell r="D1031">
            <v>1.749049870208208</v>
          </cell>
          <cell r="E1031">
            <v>1.7024605715649841</v>
          </cell>
          <cell r="F1031">
            <v>1.829239848176315</v>
          </cell>
          <cell r="G1031">
            <v>2.8300957759669845</v>
          </cell>
          <cell r="H1031">
            <v>3.6332202452507323</v>
          </cell>
          <cell r="I1031">
            <v>4.9631292409229788</v>
          </cell>
          <cell r="J1031">
            <v>4.5224404546015684</v>
          </cell>
        </row>
        <row r="1032">
          <cell r="A1032" t="str">
            <v>RHEM-SHSTG-ELCHP</v>
          </cell>
          <cell r="B1032" t="str">
            <v>VAR_fin</v>
          </cell>
          <cell r="C1032" t="str">
            <v>RHEM-SHAELCH</v>
          </cell>
          <cell r="D1032">
            <v>1.7473210875032836</v>
          </cell>
          <cell r="E1032">
            <v>1.7007638018352929</v>
          </cell>
          <cell r="F1032">
            <v>1.8274142108915323</v>
          </cell>
          <cell r="G1032">
            <v>2.827271266775695</v>
          </cell>
          <cell r="H1032">
            <v>3.6295935181224088</v>
          </cell>
          <cell r="I1032">
            <v>4.9581747142288712</v>
          </cell>
          <cell r="J1032">
            <v>4.5179264753172363</v>
          </cell>
        </row>
        <row r="1033">
          <cell r="A1033" t="str">
            <v>RHEM-SHSTG-ELCHP</v>
          </cell>
          <cell r="B1033" t="str">
            <v>VAR_ncap</v>
          </cell>
          <cell r="C1033" t="str">
            <v>-</v>
          </cell>
          <cell r="D1033">
            <v>0.19331500560908399</v>
          </cell>
          <cell r="E1033">
            <v>3.79218586435444E-4</v>
          </cell>
          <cell r="F1033">
            <v>6.61096107606697E-5</v>
          </cell>
          <cell r="G1033">
            <v>0.13199610467981501</v>
          </cell>
          <cell r="H1033">
            <v>0.216716928979516</v>
          </cell>
          <cell r="I1033">
            <v>0.17568218437577399</v>
          </cell>
          <cell r="J1033">
            <v>0.25557529562267201</v>
          </cell>
        </row>
        <row r="1034">
          <cell r="A1034" t="str">
            <v>RHEM-SHSTG-ELCHP</v>
          </cell>
          <cell r="B1034" t="str">
            <v>VAR_cap</v>
          </cell>
          <cell r="C1034" t="str">
            <v>-</v>
          </cell>
          <cell r="D1034">
            <v>0.19331500560908399</v>
          </cell>
          <cell r="E1034">
            <v>0.19365049533729328</v>
          </cell>
          <cell r="F1034">
            <v>0.19364982268305739</v>
          </cell>
          <cell r="G1034">
            <v>0.32561476059305883</v>
          </cell>
          <cell r="H1034">
            <v>0.39891784646222489</v>
          </cell>
          <cell r="I1034">
            <v>0.4824849806581254</v>
          </cell>
          <cell r="J1034">
            <v>0.47467107759739197</v>
          </cell>
        </row>
        <row r="1035">
          <cell r="A1035" t="str">
            <v>ITOT-SWHELCBR</v>
          </cell>
          <cell r="B1035" t="str">
            <v>VAR_fout</v>
          </cell>
          <cell r="C1035" t="str">
            <v>ITOT-SWHAELC</v>
          </cell>
          <cell r="D1035">
            <v>9.8139040171759113</v>
          </cell>
          <cell r="E1035">
            <v>10.335083817685675</v>
          </cell>
          <cell r="F1035">
            <v>10.576621474638111</v>
          </cell>
          <cell r="G1035">
            <v>10.576629830648569</v>
          </cell>
          <cell r="H1035">
            <v>10.576630204095284</v>
          </cell>
          <cell r="I1035">
            <v>10.576630889696702</v>
          </cell>
          <cell r="J1035">
            <v>10.786927952400246</v>
          </cell>
        </row>
        <row r="1036">
          <cell r="A1036" t="str">
            <v>ITOT-SWHELCBR</v>
          </cell>
          <cell r="B1036" t="str">
            <v>VAR_fin</v>
          </cell>
          <cell r="C1036" t="str">
            <v>ITOT_ELC</v>
          </cell>
          <cell r="D1036">
            <v>11.646955033815797</v>
          </cell>
          <cell r="E1036">
            <v>12.258978985464751</v>
          </cell>
          <cell r="F1036">
            <v>12.535511084347096</v>
          </cell>
          <cell r="G1036">
            <v>12.51894238980327</v>
          </cell>
          <cell r="H1036">
            <v>12.502408026537791</v>
          </cell>
          <cell r="I1036">
            <v>12.485917650773455</v>
          </cell>
          <cell r="J1036">
            <v>12.700672000305408</v>
          </cell>
        </row>
        <row r="1037">
          <cell r="A1037" t="str">
            <v>ITOT-SWHELCBR</v>
          </cell>
          <cell r="B1037" t="str">
            <v>VAR_ncap</v>
          </cell>
          <cell r="C1037" t="str">
            <v>-</v>
          </cell>
          <cell r="E1037">
            <v>0.19759410927395599</v>
          </cell>
          <cell r="F1037">
            <v>3.0211428293144002E-4</v>
          </cell>
          <cell r="G1037">
            <v>0.11273591179199199</v>
          </cell>
          <cell r="H1037">
            <v>0.54854227141605405</v>
          </cell>
          <cell r="I1037">
            <v>0.29105453946877402</v>
          </cell>
          <cell r="J1037">
            <v>0.51825739761718204</v>
          </cell>
        </row>
        <row r="1038">
          <cell r="A1038" t="str">
            <v>ITOT-SWHELCBR</v>
          </cell>
          <cell r="B1038" t="str">
            <v>VAR_cap</v>
          </cell>
          <cell r="C1038" t="str">
            <v>-</v>
          </cell>
          <cell r="D1038">
            <v>0.55644997413134401</v>
          </cell>
          <cell r="E1038">
            <v>0.75403849742273332</v>
          </cell>
          <cell r="F1038">
            <v>0.75432728468311117</v>
          </cell>
          <cell r="G1038">
            <v>0.86703587371110824</v>
          </cell>
          <cell r="H1038">
            <v>0.90703171808639282</v>
          </cell>
          <cell r="I1038">
            <v>0.91660209402704174</v>
          </cell>
          <cell r="J1038">
            <v>0.96149781349758923</v>
          </cell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0.40534161743465769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0.40534161743465769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1.8002854839567E-3</v>
          </cell>
          <cell r="G23">
            <v>3.8286539935711699</v>
          </cell>
          <cell r="H23">
            <v>4.4913251447096103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5.4643927925020099</v>
          </cell>
          <cell r="H24">
            <v>12.986847475434599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4.5322342032207903</v>
          </cell>
          <cell r="F25">
            <v>0.52178691820229395</v>
          </cell>
          <cell r="G25">
            <v>1.6605496247079901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1127.9632389534299</v>
          </cell>
          <cell r="F26">
            <v>1133.4593642940099</v>
          </cell>
          <cell r="G26">
            <v>1259.68741405267</v>
          </cell>
          <cell r="H26">
            <v>871.94407176275297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24.6741838743194</v>
          </cell>
          <cell r="H27">
            <v>42.746206783068097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1928.71092772201</v>
          </cell>
          <cell r="F28">
            <v>1569.1207756599399</v>
          </cell>
          <cell r="G28">
            <v>1724.6522954807699</v>
          </cell>
          <cell r="H28">
            <v>858.59697987642403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48.536518854025203</v>
          </cell>
          <cell r="H29">
            <v>45.438214753991701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6.0645008611257003</v>
          </cell>
          <cell r="G30">
            <v>2.1701981817676299</v>
          </cell>
          <cell r="H30">
            <v>3.1567204582931598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7.1826305467060899E-3</v>
          </cell>
          <cell r="G31">
            <v>1.19338990795403</v>
          </cell>
          <cell r="H31">
            <v>1.88256860406892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2.2763788564627601</v>
          </cell>
          <cell r="G32">
            <v>9.3433356878208507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7.8260237918359303</v>
          </cell>
          <cell r="H33">
            <v>16.719232636214301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1043.1352269823701</v>
          </cell>
          <cell r="F34">
            <v>1119.4137345127201</v>
          </cell>
          <cell r="G34">
            <v>641.51162487187503</v>
          </cell>
          <cell r="H34">
            <v>438.565387498478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479.81003714437901</v>
          </cell>
          <cell r="F35">
            <v>414.11019689969902</v>
          </cell>
          <cell r="G35">
            <v>553.47189083134003</v>
          </cell>
          <cell r="H35">
            <v>329.59115416063003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726.71284486565105</v>
          </cell>
          <cell r="F36">
            <v>572.18634284208304</v>
          </cell>
          <cell r="G36">
            <v>653.46470614180998</v>
          </cell>
          <cell r="H36">
            <v>271.14925654761601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1783.66299386737</v>
          </cell>
          <cell r="F37">
            <v>1640.9695979047301</v>
          </cell>
          <cell r="G37">
            <v>1234.0232822601499</v>
          </cell>
          <cell r="H37">
            <v>572.09200834434603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0.66264847394487403</v>
          </cell>
          <cell r="G38">
            <v>0.93276653660862696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7.0974967821527297</v>
          </cell>
          <cell r="F39">
            <v>3.5549505781635098</v>
          </cell>
          <cell r="G39">
            <v>5.2993662942742796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9.2701156909223208</v>
          </cell>
          <cell r="F40">
            <v>9.2700589259654098</v>
          </cell>
          <cell r="G40">
            <v>2.4030201596098801</v>
          </cell>
          <cell r="H40">
            <v>4.3215798674320599E-2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53.5884265591069</v>
          </cell>
          <cell r="H41">
            <v>89.350608850374897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43.0990711362141</v>
          </cell>
          <cell r="G42">
            <v>5.83404627454264</v>
          </cell>
          <cell r="H42">
            <v>6.67182253621489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7110.8951162115</v>
          </cell>
          <cell r="F43">
            <v>6514.7183907792996</v>
          </cell>
          <cell r="G43">
            <v>6239.5660861712604</v>
          </cell>
          <cell r="H43">
            <v>3565.4256212312898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52.154654863133302</v>
          </cell>
          <cell r="H44">
            <v>82.834906671709106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94.256133901977705</v>
          </cell>
          <cell r="F45">
            <v>98.062928744310199</v>
          </cell>
          <cell r="G45">
            <v>5.5528761949101302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1440.94614766413</v>
          </cell>
          <cell r="F46">
            <v>1508.6878139422699</v>
          </cell>
          <cell r="G46">
            <v>1263.8060621530501</v>
          </cell>
          <cell r="H46">
            <v>839.86289107124298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2229.9140321473001</v>
          </cell>
          <cell r="F47">
            <v>1968.6716172044701</v>
          </cell>
          <cell r="G47">
            <v>1845.0739549503501</v>
          </cell>
          <cell r="H47">
            <v>970.39032260615602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3765.1163137134099</v>
          </cell>
          <cell r="F48">
            <v>3575.4223598910498</v>
          </cell>
          <cell r="G48">
            <v>3166.5875481614398</v>
          </cell>
          <cell r="H48">
            <v>1893.0881203491101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1.7806926352750801E-2</v>
          </cell>
          <cell r="F49">
            <v>1.7874961880019299E-2</v>
          </cell>
          <cell r="G49">
            <v>1.7823126657175201E-2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3.5184423280012522</v>
          </cell>
          <cell r="F50">
            <v>0.49211555228362103</v>
          </cell>
          <cell r="G50">
            <v>0.65067513101072649</v>
          </cell>
          <cell r="H50">
            <v>0.62483099670065712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2.1858448458966201E-2</v>
          </cell>
          <cell r="F51">
            <v>0.1203522339144118</v>
          </cell>
          <cell r="G51">
            <v>0.13642993903846151</v>
          </cell>
          <cell r="H51">
            <v>0.17529627347445431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5.78790732453594</v>
          </cell>
          <cell r="F52">
            <v>10.959814767497392</v>
          </cell>
          <cell r="G52">
            <v>10.273218918866821</v>
          </cell>
          <cell r="H52">
            <v>8.8148768822100223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6.6505091100627096</v>
          </cell>
          <cell r="F53">
            <v>40.924308780836</v>
          </cell>
          <cell r="G53">
            <v>129.85264342735718</v>
          </cell>
          <cell r="H53">
            <v>496.43697642026899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12.6224689755583</v>
          </cell>
          <cell r="F54">
            <v>19.50903659282632</v>
          </cell>
          <cell r="G54">
            <v>18.258920688859519</v>
          </cell>
          <cell r="H54">
            <v>20.203894300678634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31.346433684990298</v>
          </cell>
          <cell r="G55">
            <v>142.72174611072171</v>
          </cell>
          <cell r="H55">
            <v>230.60904642598842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61.504351076511703</v>
          </cell>
          <cell r="F56">
            <v>130.33032227447899</v>
          </cell>
          <cell r="G56">
            <v>40.020608889825702</v>
          </cell>
          <cell r="H56">
            <v>19.996979925106601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790.60845809078603</v>
          </cell>
          <cell r="F57">
            <v>545.29448426475403</v>
          </cell>
          <cell r="G57">
            <v>399.59883564358199</v>
          </cell>
          <cell r="H57">
            <v>199.77426057670201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0.20244555834769828</v>
          </cell>
          <cell r="F58">
            <v>0.16294924205039343</v>
          </cell>
          <cell r="G58">
            <v>0.12776368792672113</v>
          </cell>
          <cell r="H58">
            <v>7.6481383001909074E-3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3.154343203745765</v>
          </cell>
          <cell r="F59">
            <v>3.1244254456732667</v>
          </cell>
          <cell r="G59">
            <v>3.3122026048572808</v>
          </cell>
          <cell r="H59">
            <v>4.4954035245696276E-3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325.95326297549661</v>
          </cell>
          <cell r="F60">
            <v>384.74518249564602</v>
          </cell>
          <cell r="G60">
            <v>374.206938658723</v>
          </cell>
          <cell r="H60">
            <v>153.01161646025255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0.24286767296660169</v>
          </cell>
          <cell r="F61">
            <v>0.26942316338770583</v>
          </cell>
          <cell r="G61">
            <v>0.27467748557933447</v>
          </cell>
          <cell r="H61">
            <v>2.4413923253210183E-2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2.7221085950655843</v>
          </cell>
          <cell r="F62">
            <v>2.6619095053670643</v>
          </cell>
          <cell r="G62">
            <v>2.4786298186525593</v>
          </cell>
          <cell r="H62">
            <v>2.7058233562551682E-3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3.3444781786363599E-2</v>
          </cell>
          <cell r="G63">
            <v>8.2000338204170603E-2</v>
          </cell>
          <cell r="H63">
            <v>0.1162361548423107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2.85199869226536E-2</v>
          </cell>
          <cell r="G64">
            <v>0.10065219044314599</v>
          </cell>
          <cell r="H64">
            <v>0.14108668926887449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2.81658254289733E-2</v>
          </cell>
          <cell r="G65">
            <v>6.3020987321900299E-2</v>
          </cell>
          <cell r="H65">
            <v>8.8441111900899205E-2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3.5675924335132503E-2</v>
          </cell>
          <cell r="G66">
            <v>0.11787416335475739</v>
          </cell>
          <cell r="H66">
            <v>0.14990114633146401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2.4484630714865101E-2</v>
          </cell>
          <cell r="G67">
            <v>7.8078034298979304E-2</v>
          </cell>
          <cell r="H67">
            <v>0.11097393740371861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4.0955508254874602E-2</v>
          </cell>
          <cell r="G68">
            <v>0.14325313413559071</v>
          </cell>
          <cell r="H68">
            <v>0.1924961058208895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2.9590627763604601E-2</v>
          </cell>
          <cell r="G69">
            <v>8.7287167710074498E-2</v>
          </cell>
          <cell r="H69">
            <v>0.11251498262604331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0.50142599254374398</v>
          </cell>
          <cell r="G70">
            <v>0.53865732883205719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2.31712460309976E-2</v>
          </cell>
          <cell r="G71">
            <v>5.8974155216027099E-2</v>
          </cell>
          <cell r="H71">
            <v>7.8316819248903394E-2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2.35826144338829E-2</v>
          </cell>
          <cell r="G72">
            <v>4.29830976512676E-2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1.5285310509114801E-2</v>
          </cell>
          <cell r="G73">
            <v>2.6756593091761802E-2</v>
          </cell>
          <cell r="H73">
            <v>1.259315762591904E-4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3.2963342358332199E-3</v>
          </cell>
          <cell r="G74">
            <v>6.1439202134954398E-3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1410.1532524644999</v>
          </cell>
          <cell r="F75">
            <v>1140.64894993794</v>
          </cell>
          <cell r="G75">
            <v>841.52560137676505</v>
          </cell>
          <cell r="H75">
            <v>362.72473073730498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51.451580495070701</v>
          </cell>
          <cell r="G76">
            <v>1.2697544266035501E-2</v>
          </cell>
          <cell r="H76">
            <v>3.6512795775157699E-3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3.2631830128972288</v>
          </cell>
          <cell r="F77">
            <v>12.7315919148262</v>
          </cell>
          <cell r="G77">
            <v>25.354608289523224</v>
          </cell>
          <cell r="H77">
            <v>45.162962426627601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1273.9838489680201</v>
          </cell>
          <cell r="G78">
            <v>1250.1142124764599</v>
          </cell>
          <cell r="H78">
            <v>1185.3348820353399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8.2778354950263999</v>
          </cell>
          <cell r="F79">
            <v>12.032553475094529</v>
          </cell>
          <cell r="G79">
            <v>12.03662681947157</v>
          </cell>
          <cell r="H79">
            <v>7.5378778839109692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12.064375565735059</v>
          </cell>
          <cell r="F80">
            <v>14.614954229354085</v>
          </cell>
          <cell r="G80">
            <v>14.810047894441832</v>
          </cell>
          <cell r="H80">
            <v>14.558757452729163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4722.2885077650899</v>
          </cell>
          <cell r="F81">
            <v>3813.7542567881801</v>
          </cell>
          <cell r="G81">
            <v>3125.1750455792298</v>
          </cell>
          <cell r="H81">
            <v>962.97353865391801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7.8483583085393596</v>
          </cell>
          <cell r="F82">
            <v>9.3249938547260918</v>
          </cell>
          <cell r="G82">
            <v>9.4494234243325419</v>
          </cell>
          <cell r="H82">
            <v>9.3130189991962755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3821.2770534269798</v>
          </cell>
          <cell r="F83">
            <v>3569.7775225577002</v>
          </cell>
          <cell r="G83">
            <v>2515.21470791293</v>
          </cell>
          <cell r="H83">
            <v>1107.0864777065301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146.29759478753999</v>
          </cell>
          <cell r="F84">
            <v>110.470794938802</v>
          </cell>
          <cell r="G84">
            <v>76.739690166573894</v>
          </cell>
          <cell r="H84">
            <v>33.4388474830672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1.4349646743037099</v>
          </cell>
          <cell r="F85">
            <v>1.2808554912639667</v>
          </cell>
          <cell r="G85">
            <v>1.7765587339884128</v>
          </cell>
          <cell r="H85">
            <v>5.861365316065412E-3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2.68037478841925E-2</v>
          </cell>
          <cell r="G86">
            <v>4.76368543808212E-2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1.21944786520169E-2</v>
          </cell>
          <cell r="G87">
            <v>3.1986909965409399E-2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1.924387601433248E-2</v>
          </cell>
          <cell r="F88">
            <v>0.77775661694841547</v>
          </cell>
          <cell r="G88">
            <v>15.470186751949594</v>
          </cell>
          <cell r="H88">
            <v>3.1253317905913201E-3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9.9322283938746096E-3</v>
          </cell>
          <cell r="G89">
            <v>2.7603133495603401E-2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8.03777446500788</v>
          </cell>
          <cell r="F90">
            <v>9.6633021654239553</v>
          </cell>
          <cell r="G90">
            <v>16.914464152983179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2.0051586327207798E-3</v>
          </cell>
          <cell r="G91">
            <v>5.9244334587881895E-3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44.474387759409922</v>
          </cell>
          <cell r="F92">
            <v>65.693653638948831</v>
          </cell>
          <cell r="G92">
            <v>114.6424355136283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0.31818812925731388</v>
          </cell>
          <cell r="F93">
            <v>2.7750716860163997E-2</v>
          </cell>
          <cell r="G93">
            <v>3.479402032857104E-2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7.73417204839018E-3</v>
          </cell>
          <cell r="F94">
            <v>7.7546422857682797E-3</v>
          </cell>
          <cell r="G94">
            <v>7.6899470692437999E-3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1.2709063122313</v>
          </cell>
          <cell r="F95">
            <v>1.2693967601934599</v>
          </cell>
          <cell r="G95">
            <v>1.26437424792048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92.550541141063107</v>
          </cell>
          <cell r="F96">
            <v>91.724485287514895</v>
          </cell>
          <cell r="G96">
            <v>68.278001332215297</v>
          </cell>
          <cell r="H96">
            <v>32.395365188495298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36.606950435200567</v>
          </cell>
          <cell r="F98">
            <v>40.685198587308065</v>
          </cell>
          <cell r="G98">
            <v>101.11171167166603</v>
          </cell>
          <cell r="H98">
            <v>85.535506786613411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36.12998659230427</v>
          </cell>
          <cell r="F99">
            <v>42.794086348251454</v>
          </cell>
          <cell r="G99">
            <v>56.809141992634636</v>
          </cell>
          <cell r="H99">
            <v>100.68391703245308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284.70212010804681</v>
          </cell>
          <cell r="F100">
            <v>391.68268446154025</v>
          </cell>
          <cell r="G100">
            <v>480.36816567472459</v>
          </cell>
          <cell r="H100">
            <v>385.52289725744015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0.37325171642810168</v>
          </cell>
          <cell r="F101">
            <v>0.46769160107108398</v>
          </cell>
          <cell r="G101">
            <v>0.38270694281719292</v>
          </cell>
          <cell r="H101">
            <v>0.30454195886929081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280.37347064680051</v>
          </cell>
          <cell r="F102">
            <v>423.67242851298619</v>
          </cell>
          <cell r="G102">
            <v>422.41691970397727</v>
          </cell>
          <cell r="H102">
            <v>340.62589715071221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79.976399845705757</v>
          </cell>
          <cell r="F103">
            <v>94.074252458511907</v>
          </cell>
          <cell r="G103">
            <v>81.525019240248668</v>
          </cell>
          <cell r="H103">
            <v>60.85321793470748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287.91691120451299</v>
          </cell>
          <cell r="F104">
            <v>387.8051235377672</v>
          </cell>
          <cell r="G104">
            <v>707.23924261907541</v>
          </cell>
          <cell r="H104">
            <v>588.77148354262215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366.93720239128231</v>
          </cell>
          <cell r="F105">
            <v>390.46735681545823</v>
          </cell>
          <cell r="G105">
            <v>386.75326270049862</v>
          </cell>
          <cell r="H105">
            <v>295.36991333319338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141.70378030157519</v>
          </cell>
          <cell r="F106">
            <v>162.04951422542746</v>
          </cell>
          <cell r="G106">
            <v>158.66076140232306</v>
          </cell>
          <cell r="H106">
            <v>122.51637601403499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6.0544150030544497</v>
          </cell>
          <cell r="F107">
            <v>1.8310778886933901</v>
          </cell>
          <cell r="G107">
            <v>3.94988120445608</v>
          </cell>
          <cell r="H107">
            <v>4.7869144609084802E-4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9.0097734663466191</v>
          </cell>
          <cell r="G108">
            <v>9.0628311440381104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5.9327586186198503E-2</v>
          </cell>
          <cell r="G109">
            <v>8.9605082448984602E-2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9.39386763228275E-2</v>
          </cell>
          <cell r="G110">
            <v>0.1248208484416459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3.3703261033305276</v>
          </cell>
          <cell r="F111">
            <v>4.0025349826409107</v>
          </cell>
          <cell r="G111">
            <v>2.8316440752883523</v>
          </cell>
          <cell r="H111">
            <v>2.2203003022366983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2.1969821568808201E-3</v>
          </cell>
          <cell r="G112">
            <v>4.5553296994471698E-3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29.033424458663699</v>
          </cell>
          <cell r="F113">
            <v>20.332275989376502</v>
          </cell>
          <cell r="G113">
            <v>3.6696576091280797E-2</v>
          </cell>
          <cell r="H113">
            <v>3.4012479995111103E-2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10.26900324334434</v>
          </cell>
          <cell r="F114">
            <v>15.467152486088944</v>
          </cell>
          <cell r="G114">
            <v>59.659312621729889</v>
          </cell>
          <cell r="H114">
            <v>51.725216119320812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2.2822327869811798E-3</v>
          </cell>
          <cell r="F115">
            <v>13.151445781385057</v>
          </cell>
          <cell r="G115">
            <v>8.7688521210054446</v>
          </cell>
          <cell r="H115">
            <v>7.0746794145944705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7.5863956884847905</v>
          </cell>
          <cell r="F116">
            <v>91.528088015958801</v>
          </cell>
          <cell r="G116">
            <v>86.577410744395308</v>
          </cell>
          <cell r="H116">
            <v>69.258791376463975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0.20169342001163632</v>
          </cell>
          <cell r="F117">
            <v>48.970566077904877</v>
          </cell>
          <cell r="G117">
            <v>91.389125697400232</v>
          </cell>
          <cell r="H117">
            <v>76.858307705869606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6.6962129392165091</v>
          </cell>
          <cell r="F118">
            <v>10.012598298553538</v>
          </cell>
          <cell r="G118">
            <v>9.4564591826432451</v>
          </cell>
          <cell r="H118">
            <v>8.0144469291501252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2.1225154003399518</v>
          </cell>
          <cell r="F119">
            <v>3.3592805611080854</v>
          </cell>
          <cell r="G119">
            <v>3.2422953989277237</v>
          </cell>
          <cell r="H119">
            <v>2.4433406875387762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2.5798614953937955</v>
          </cell>
          <cell r="F120">
            <v>5.2365045948888804</v>
          </cell>
          <cell r="G120">
            <v>4.9906075463778752</v>
          </cell>
          <cell r="H120">
            <v>4.1085348903875252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152.50322318096499</v>
          </cell>
          <cell r="G121">
            <v>329.48795304325199</v>
          </cell>
          <cell r="H121">
            <v>819.11760115704544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381.101895527068</v>
          </cell>
          <cell r="F122">
            <v>352.65695920210817</v>
          </cell>
          <cell r="G122">
            <v>318.42860919225222</v>
          </cell>
          <cell r="H122">
            <v>32.319919061992408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1.2488638227994E-3</v>
          </cell>
          <cell r="F123">
            <v>0.1059594037035681</v>
          </cell>
          <cell r="G123">
            <v>0.1228417481292068</v>
          </cell>
          <cell r="H123">
            <v>0.16567369332020554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5.0903831892904297E-4</v>
          </cell>
          <cell r="F124">
            <v>8.7801398603755201E-2</v>
          </cell>
          <cell r="G124">
            <v>0.23940763824601019</v>
          </cell>
          <cell r="H124">
            <v>1.5361437536794518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7.1843645766609598E-3</v>
          </cell>
          <cell r="F125">
            <v>36.7765530464454</v>
          </cell>
          <cell r="G125">
            <v>105.69615681950123</v>
          </cell>
          <cell r="H125">
            <v>349.41668816412687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8.3032361564215016</v>
          </cell>
          <cell r="F126">
            <v>21.074485337910382</v>
          </cell>
          <cell r="G126">
            <v>25.876640154210289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0.41164616186094599</v>
          </cell>
          <cell r="F127">
            <v>1.51474897009814</v>
          </cell>
          <cell r="G127">
            <v>1.6849428209077169</v>
          </cell>
          <cell r="H127">
            <v>7.4429044198558927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38.059063639592303</v>
          </cell>
          <cell r="F128">
            <v>28.521997459262384</v>
          </cell>
          <cell r="G128">
            <v>35.342965346867182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11.339397757818279</v>
          </cell>
          <cell r="F129">
            <v>9.3150620067933385</v>
          </cell>
          <cell r="G129">
            <v>11.480790031792223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0.98202572057588422</v>
          </cell>
          <cell r="F130">
            <v>3.4770715086926522E-2</v>
          </cell>
          <cell r="G130">
            <v>4.0939943710627848E-2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2.6245448351527999E-2</v>
          </cell>
          <cell r="G131">
            <v>5.2379516358416506E-2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1.8661438832161401E-2</v>
          </cell>
          <cell r="G132">
            <v>6.4330587053211E-2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0.44179793428582598</v>
          </cell>
          <cell r="F133">
            <v>0.44075566304042602</v>
          </cell>
          <cell r="G133">
            <v>0.43748897233966999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2.04127599471659E-2</v>
          </cell>
          <cell r="G134">
            <v>1.5289821311019667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1.1954467849023601E-3</v>
          </cell>
          <cell r="G135">
            <v>4.38852393590427E-3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14999.3082616233</v>
          </cell>
          <cell r="F136">
            <v>14210.6833365028</v>
          </cell>
          <cell r="G136">
            <v>12850.7770277321</v>
          </cell>
          <cell r="H136">
            <v>8488.8128093750493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9850.7184487346694</v>
          </cell>
          <cell r="G138">
            <v>10232.848969958</v>
          </cell>
          <cell r="H138">
            <v>7249.8660389181396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330.01259006634598</v>
          </cell>
          <cell r="F139">
            <v>321.17935361390801</v>
          </cell>
          <cell r="G139">
            <v>2.6930639264652498</v>
          </cell>
          <cell r="H139">
            <v>5.4371781371169603E-2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311.418817252628</v>
          </cell>
          <cell r="F141">
            <v>14.6062779781711</v>
          </cell>
          <cell r="G141">
            <v>0.88685219950920902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689.47333229352</v>
          </cell>
          <cell r="F142">
            <v>659.57574993944195</v>
          </cell>
          <cell r="G142">
            <v>660.41030239306599</v>
          </cell>
          <cell r="H142">
            <v>437.36426810778102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8650.9657512431804</v>
          </cell>
          <cell r="F145">
            <v>8258.9228966145602</v>
          </cell>
          <cell r="G145">
            <v>7024.5689178769699</v>
          </cell>
          <cell r="H145">
            <v>4865.1343585171799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2093.6573391256402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27.364999718126999</v>
          </cell>
          <cell r="F147">
            <v>16.553301138559799</v>
          </cell>
          <cell r="G147">
            <v>17.735033090167601</v>
          </cell>
          <cell r="H147">
            <v>17.128234513812501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16.094292218369301</v>
          </cell>
          <cell r="F148">
            <v>8.9377473220410799</v>
          </cell>
          <cell r="G148">
            <v>14.142139478873499</v>
          </cell>
          <cell r="H148">
            <v>0.65767195722536398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1522.8535352149299</v>
          </cell>
          <cell r="F149">
            <v>1526.96065029037</v>
          </cell>
          <cell r="G149">
            <v>1325.50765389244</v>
          </cell>
          <cell r="H149">
            <v>925.60761794532596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-564.22692016218002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2653.5325996075699</v>
          </cell>
          <cell r="F151">
            <v>2631.4490938948702</v>
          </cell>
          <cell r="G151">
            <v>2628.1362091869801</v>
          </cell>
          <cell r="H151">
            <v>1863.0595302691299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213.780868433677</v>
          </cell>
          <cell r="F152">
            <v>188.342282215155</v>
          </cell>
          <cell r="G152">
            <v>0.31621603593098502</v>
          </cell>
          <cell r="H152">
            <v>5.6509617958628897E-2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2267.7887470943801</v>
          </cell>
          <cell r="F153">
            <v>2002.1091736533201</v>
          </cell>
          <cell r="G153">
            <v>1876.4082223078899</v>
          </cell>
          <cell r="H153">
            <v>986.85193939226201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9.2701156909223208</v>
          </cell>
          <cell r="F154">
            <v>9.2700589259654098</v>
          </cell>
          <cell r="G154">
            <v>2.4030201596098801</v>
          </cell>
          <cell r="H154">
            <v>4.3215798674320599E-2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4514.48390889236</v>
          </cell>
          <cell r="F156">
            <v>3846.5271860550502</v>
          </cell>
          <cell r="G156">
            <v>3678.5936123202</v>
          </cell>
          <cell r="H156">
            <v>1737.20452970258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5916.0218112789098</v>
          </cell>
          <cell r="F157">
            <v>5471.6231519150797</v>
          </cell>
          <cell r="G157">
            <v>5235.5133600794297</v>
          </cell>
          <cell r="H157">
            <v>3150.48177492378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1068.1291315492399</v>
          </cell>
          <cell r="F160">
            <v>1094.4820032473399</v>
          </cell>
          <cell r="G160">
            <v>1024.6416240333299</v>
          </cell>
          <cell r="H160">
            <v>1013.19800689907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80.648080297731497</v>
          </cell>
          <cell r="F162">
            <v>102.293413590914</v>
          </cell>
          <cell r="G162">
            <v>134.52678506469601</v>
          </cell>
          <cell r="H162">
            <v>188.06383810055701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2101.9963012756698</v>
          </cell>
          <cell r="F163">
            <v>1837.04520511803</v>
          </cell>
          <cell r="G163">
            <v>1884.4161375675301</v>
          </cell>
          <cell r="H163">
            <v>1324.33922793749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2266.2748416183599</v>
          </cell>
          <cell r="F165">
            <v>2235.4033852381099</v>
          </cell>
          <cell r="G165">
            <v>2249.6617786891802</v>
          </cell>
          <cell r="H165">
            <v>2240.3784619818798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44198.044451741902</v>
          </cell>
          <cell r="F166">
            <v>42187.012549359599</v>
          </cell>
          <cell r="G166">
            <v>40095.6793693215</v>
          </cell>
          <cell r="H166">
            <v>27528.920015327702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-0.11715353354729099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6492.7390241030926</v>
          </cell>
          <cell r="F173">
            <v>6211.6377640079472</v>
          </cell>
          <cell r="G173">
            <v>5674.7468150175901</v>
          </cell>
          <cell r="H173">
            <v>4868.669723469312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7177.2866241908596</v>
          </cell>
          <cell r="F174">
            <v>6487.2463388758733</v>
          </cell>
          <cell r="G174">
            <v>6309.132841666793</v>
          </cell>
          <cell r="H174">
            <v>3600.3072757703867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14662.544722403863</v>
          </cell>
          <cell r="F175">
            <v>13840.273894723285</v>
          </cell>
          <cell r="G175">
            <v>12406.774182777708</v>
          </cell>
          <cell r="H175">
            <v>8201.5738376381214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2605.0586585891142</v>
          </cell>
          <cell r="F176">
            <v>2266.5629643548405</v>
          </cell>
          <cell r="G176">
            <v>2268.2836639788547</v>
          </cell>
          <cell r="H176">
            <v>2257.506696495685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3790.642282309308</v>
          </cell>
          <cell r="F177">
            <v>3529.0698239436906</v>
          </cell>
          <cell r="G177">
            <v>3201.9158762003294</v>
          </cell>
          <cell r="H177">
            <v>1912.4595573375877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2605.0586585891142</v>
          </cell>
          <cell r="F178">
            <v>2266.5629643548405</v>
          </cell>
          <cell r="G178">
            <v>2268.2836639788547</v>
          </cell>
          <cell r="H178">
            <v>2257.506696495685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6492.7390241030926</v>
          </cell>
          <cell r="F180">
            <v>6211.6377640079472</v>
          </cell>
          <cell r="G180">
            <v>5674.7468150175901</v>
          </cell>
          <cell r="H180">
            <v>4868.6686078317889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43826.068994288456</v>
          </cell>
          <cell r="F181">
            <v>40812.991514268455</v>
          </cell>
          <cell r="G181">
            <v>37803.883858637724</v>
          </cell>
          <cell r="H181">
            <v>27966.692395038568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2093.6573391256411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2093.6573391256411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114.383994746017</v>
          </cell>
          <cell r="F190">
            <v>13.8339496580695</v>
          </cell>
          <cell r="G190">
            <v>5.7519977488860501E-2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2843.25633304751</v>
          </cell>
          <cell r="F191">
            <v>2574.9228537407998</v>
          </cell>
          <cell r="G191">
            <v>2388.7558640623201</v>
          </cell>
          <cell r="H191">
            <v>2558.51121702817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207.84359099891199</v>
          </cell>
          <cell r="F192">
            <v>0.73245408064399598</v>
          </cell>
          <cell r="G192">
            <v>0.96587692111185497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1689.2933501892101</v>
          </cell>
          <cell r="F193">
            <v>1895.8840772900801</v>
          </cell>
          <cell r="G193">
            <v>2110.5679622548801</v>
          </cell>
          <cell r="H193">
            <v>1922.24563069137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15.8768966616667</v>
          </cell>
          <cell r="F195">
            <v>16.022387654874901</v>
          </cell>
          <cell r="G195">
            <v>15.9733863551235</v>
          </cell>
          <cell r="H195">
            <v>15.9529119502805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9.2597320025672492</v>
          </cell>
          <cell r="F196">
            <v>0.103329360359774</v>
          </cell>
          <cell r="G196">
            <v>0.91488341587556599</v>
          </cell>
          <cell r="H196">
            <v>0.19965465407808899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1.7713436675551699</v>
          </cell>
          <cell r="F198">
            <v>0.15118955893927399</v>
          </cell>
          <cell r="G198">
            <v>0.55109508780113503</v>
          </cell>
          <cell r="H198">
            <v>0.68998366741883099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4881.6852413134402</v>
          </cell>
          <cell r="F199">
            <v>4501.6502413437702</v>
          </cell>
          <cell r="G199">
            <v>4517.7865880746003</v>
          </cell>
          <cell r="H199">
            <v>4497.5993979913101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108.528885507334</v>
          </cell>
          <cell r="F200">
            <v>14.569174175933099</v>
          </cell>
          <cell r="G200">
            <v>86.1717405637647</v>
          </cell>
          <cell r="H200">
            <v>104.88270714741201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2005.15338153379</v>
          </cell>
          <cell r="F201">
            <v>1816.6331195827599</v>
          </cell>
          <cell r="G201">
            <v>1928.8450905857101</v>
          </cell>
          <cell r="H201">
            <v>1352.6219454245499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655.76892379844901</v>
          </cell>
          <cell r="F203">
            <v>597.37741020570195</v>
          </cell>
          <cell r="G203">
            <v>608.52156587567697</v>
          </cell>
          <cell r="H203">
            <v>475.88321081366399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H205">
            <v>6.2154044509451702E-2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330.01259006634598</v>
          </cell>
          <cell r="F206">
            <v>321.17935361390801</v>
          </cell>
          <cell r="G206">
            <v>2.6930639264652498</v>
          </cell>
          <cell r="H206">
            <v>5.4371781371169603E-2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22.1894003367109</v>
          </cell>
          <cell r="F207">
            <v>51.184312216306502</v>
          </cell>
          <cell r="G207">
            <v>40.866813004966197</v>
          </cell>
          <cell r="H207">
            <v>47.559349926385998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723.65885308211398</v>
          </cell>
          <cell r="F208">
            <v>749.83992369468604</v>
          </cell>
          <cell r="G208">
            <v>1022.7452513844599</v>
          </cell>
          <cell r="H208">
            <v>1011.24459486823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0.46847548419257501</v>
          </cell>
          <cell r="H209">
            <v>0.24693333082313901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344.47027846712899</v>
          </cell>
          <cell r="F210">
            <v>344.64536576327998</v>
          </cell>
          <cell r="G210">
            <v>1.9004302174176899</v>
          </cell>
          <cell r="H210">
            <v>1.95638510102967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210.21047879159201</v>
          </cell>
          <cell r="F211">
            <v>185.19674660893</v>
          </cell>
          <cell r="G211">
            <v>0.31093485961422102</v>
          </cell>
          <cell r="H211">
            <v>5.5565841482670297E-2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4399.9927915834696</v>
          </cell>
          <cell r="F212">
            <v>4080.62540586151</v>
          </cell>
          <cell r="G212">
            <v>3692.5233659022701</v>
          </cell>
          <cell r="H212">
            <v>2994.5672182794601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6.0938509311960398E-7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4.6601088870356002E-6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1.0129135918055001E-6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2.73217034086742E-6</v>
          </cell>
          <cell r="F8">
            <v>3.5175852774712501E-7</v>
          </cell>
          <cell r="G8">
            <v>3.9496672032385702E-7</v>
          </cell>
          <cell r="H8">
            <v>4.9013727177940199E-7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4.0986206701093897E-3</v>
          </cell>
          <cell r="F10">
            <v>9.81989305833832E-3</v>
          </cell>
          <cell r="G10">
            <v>1.0178057172175201E-6</v>
          </cell>
          <cell r="H10">
            <v>0.11256342103113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3.6516058097023099E-7</v>
          </cell>
          <cell r="F11">
            <v>3.8745869356714798E-7</v>
          </cell>
          <cell r="G11">
            <v>4.68365346697774E-7</v>
          </cell>
          <cell r="H11">
            <v>5.7832812387461201E-7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1.4313324894355399E-2</v>
          </cell>
          <cell r="F12">
            <v>6.5614252153066197E-2</v>
          </cell>
          <cell r="G12">
            <v>4.0714995172776401E-7</v>
          </cell>
          <cell r="H12">
            <v>5.5756574539189695E-7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7.5732728172474797E-2</v>
          </cell>
          <cell r="H13">
            <v>2.1608212416088402E-5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4.7595731130076602E-7</v>
          </cell>
          <cell r="F14">
            <v>9.6127155174551194E-8</v>
          </cell>
          <cell r="G14">
            <v>1.0024791805216E-7</v>
          </cell>
          <cell r="H14">
            <v>1.06122001583525E-7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8.0756304023186896E-6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1.5206468832743999E-6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1.17042475905319E-6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1.4205046757999899E-6</v>
          </cell>
          <cell r="F18">
            <v>1.42118786919093E-7</v>
          </cell>
          <cell r="G18">
            <v>1.8144361829259701E-7</v>
          </cell>
          <cell r="H18">
            <v>2.23343946267997E-7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5.0834873146953299E-2</v>
          </cell>
          <cell r="F19">
            <v>8.0014460959624695E-2</v>
          </cell>
          <cell r="G19">
            <v>3.1549002900295102E-2</v>
          </cell>
          <cell r="H19">
            <v>4.6616570917989597E-6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2.3128746290509899E-7</v>
          </cell>
          <cell r="F20">
            <v>8.2751284011778095E-8</v>
          </cell>
          <cell r="G20">
            <v>9.9658606581239097E-8</v>
          </cell>
          <cell r="H20">
            <v>9.9093113946501296E-8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9.41865396550269E-7</v>
          </cell>
          <cell r="F21">
            <v>3.31463735536818E-5</v>
          </cell>
          <cell r="G21">
            <v>1.2238697825441199E-6</v>
          </cell>
          <cell r="H21">
            <v>8.1657787236796597E-7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3.4586691996665701E-4</v>
          </cell>
          <cell r="F24">
            <v>4.1149724843639099E-5</v>
          </cell>
          <cell r="G24">
            <v>7.8113111339704708E-6</v>
          </cell>
          <cell r="H24">
            <v>1.1744110999406501E-2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3.2669331616104403E-7</v>
          </cell>
          <cell r="F25">
            <v>2.1303919525828499E-7</v>
          </cell>
          <cell r="G25">
            <v>2.1490911231977499E-7</v>
          </cell>
          <cell r="H25">
            <v>2.8583676473777601E-7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0.153447411962192</v>
          </cell>
          <cell r="F26">
            <v>5.4302336022296803E-2</v>
          </cell>
          <cell r="G26">
            <v>1.4238812481764901E-6</v>
          </cell>
          <cell r="H26">
            <v>1.9939207896641598E-6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4.4961677846737703E-5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5.7302945954751999E-3</v>
          </cell>
          <cell r="F28">
            <v>3.3465558793107703E-7</v>
          </cell>
          <cell r="G28">
            <v>5.1879012688706E-7</v>
          </cell>
          <cell r="H28">
            <v>2.7801285103809499E-7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1.43385467024082E-6</v>
          </cell>
          <cell r="F29">
            <v>5.1782735898806899E-7</v>
          </cell>
          <cell r="G29">
            <v>6.67062546443028E-7</v>
          </cell>
          <cell r="H29">
            <v>1.02885962837948E-6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1.54686362820378E-6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H32">
            <v>6.0938509311960398E-7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H34">
            <v>4.6601088870356002E-6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H35">
            <v>1.0129135918055001E-6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E36">
            <v>1.0275147267113209</v>
          </cell>
          <cell r="F36">
            <v>1.0275150784698488</v>
          </cell>
          <cell r="G36">
            <v>1.027515473436569</v>
          </cell>
          <cell r="H36">
            <v>1.0275159635738409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E38">
            <v>0.21266870170259214</v>
          </cell>
          <cell r="F38">
            <v>0.22248807978175195</v>
          </cell>
          <cell r="G38">
            <v>0.22248564500559193</v>
          </cell>
          <cell r="H38">
            <v>0.26146531726100281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E39">
            <v>3.6516058097023099E-7</v>
          </cell>
          <cell r="F39">
            <v>7.5261927453737902E-7</v>
          </cell>
          <cell r="G39">
            <v>1.22098462123515E-6</v>
          </cell>
          <cell r="H39">
            <v>1.7993127451097601E-6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E40">
            <v>4.233142191414254E-2</v>
          </cell>
          <cell r="F40">
            <v>0.10794557371584232</v>
          </cell>
          <cell r="G40">
            <v>8.084285941184291E-2</v>
          </cell>
          <cell r="H40">
            <v>8.0795421817684093E-2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5.2749061246302797E-2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0.95961816903895536</v>
          </cell>
          <cell r="F42">
            <v>0.95961826516611048</v>
          </cell>
          <cell r="G42">
            <v>0.95961836541402856</v>
          </cell>
          <cell r="H42">
            <v>0.95961847153603008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8.0756304023186896E-6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1.5206468832743999E-6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1.17042475905319E-6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2.2350536221298158</v>
          </cell>
          <cell r="F46">
            <v>2.2350537642486028</v>
          </cell>
          <cell r="G46">
            <v>2.2350539456922212</v>
          </cell>
          <cell r="H46">
            <v>2.2350541690361676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5.0834873146953299E-2</v>
          </cell>
          <cell r="F47">
            <v>0.13084902169784707</v>
          </cell>
          <cell r="G47">
            <v>0.16239731818457936</v>
          </cell>
          <cell r="H47">
            <v>0.1624005164357141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3.0972402386833831</v>
          </cell>
          <cell r="F48">
            <v>3.0972403214346671</v>
          </cell>
          <cell r="G48">
            <v>3.0972404210932738</v>
          </cell>
          <cell r="H48">
            <v>3.0972405201863875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9.41865396550269E-7</v>
          </cell>
          <cell r="F49">
            <v>3.4010566917500996E-5</v>
          </cell>
          <cell r="G49">
            <v>3.5073398072838189E-5</v>
          </cell>
          <cell r="H49">
            <v>3.5667738582657391E-5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E52">
            <v>3.4586691996665701E-4</v>
          </cell>
          <cell r="F52">
            <v>3.8680922479996977E-4</v>
          </cell>
          <cell r="G52">
            <v>3.9406889784402013E-4</v>
          </cell>
          <cell r="H52">
            <v>1.2137397308549217E-2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E53">
            <v>3.4113391902011764E-2</v>
          </cell>
          <cell r="F53">
            <v>3.3052906183228023E-2</v>
          </cell>
          <cell r="G53">
            <v>3.3050368697991737E-2</v>
          </cell>
          <cell r="H53">
            <v>5.341989957807769E-5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E54">
            <v>0.35574629577187861</v>
          </cell>
          <cell r="F54">
            <v>0.41004818672337268</v>
          </cell>
          <cell r="G54">
            <v>0.28216924390172393</v>
          </cell>
          <cell r="H54">
            <v>0.28215931378834302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H55">
            <v>4.4961677846737703E-5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E56">
            <v>7.7675957854763892E-3</v>
          </cell>
          <cell r="F56">
            <v>7.767624819298412E-3</v>
          </cell>
          <cell r="G56">
            <v>7.7679725938150611E-3</v>
          </cell>
          <cell r="H56">
            <v>4.1179089442279666E-5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E57">
            <v>1.9844848041207703</v>
          </cell>
          <cell r="F57">
            <v>1.9844853219481293</v>
          </cell>
          <cell r="G57">
            <v>1.9844859890106756</v>
          </cell>
          <cell r="H57">
            <v>1.984487017870304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H58">
            <v>1.54686362820378E-6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E63">
            <v>0.1125882739265512</v>
          </cell>
          <cell r="F63">
            <v>0.11778766297800411</v>
          </cell>
          <cell r="G63">
            <v>0.11600061237418552</v>
          </cell>
          <cell r="H63">
            <v>0.13842271121305322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H64">
            <v>0.34128021842647699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F65">
            <v>6.3763934604468176E-6</v>
          </cell>
          <cell r="G65">
            <v>3.9856472883496586E-6</v>
          </cell>
          <cell r="H65">
            <v>1.5617359465300001E-5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E66">
            <v>0.39224292968669427</v>
          </cell>
          <cell r="F66">
            <v>5.2355270182909711E-2</v>
          </cell>
          <cell r="G66">
            <v>0.39346782113289019</v>
          </cell>
          <cell r="H66">
            <v>0.13800074766839482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E71">
            <v>9.6793747498569367</v>
          </cell>
          <cell r="F71">
            <v>10.126373654308987</v>
          </cell>
          <cell r="G71">
            <v>9.9727383609692488</v>
          </cell>
          <cell r="H71">
            <v>11.900398229716481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E73">
            <v>9.6793747498569367</v>
          </cell>
          <cell r="F73">
            <v>10.126373654308987</v>
          </cell>
          <cell r="G73">
            <v>9.9727383609692488</v>
          </cell>
          <cell r="H73">
            <v>11.900398229716481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H75">
            <v>5.6624603327351335E-4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  <cell r="E76">
            <v>5.5216102349756664</v>
          </cell>
          <cell r="F76">
            <v>0.25897655989665064</v>
          </cell>
          <cell r="G76">
            <v>1.5724329778532078E-2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E77">
            <v>0.28535979110583926</v>
          </cell>
          <cell r="F77">
            <v>0.15847069719930984</v>
          </cell>
          <cell r="G77">
            <v>0.25074715388073548</v>
          </cell>
          <cell r="H77">
            <v>1.166085030541426E-2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E78">
            <v>27.000949205938415</v>
          </cell>
          <cell r="F78">
            <v>27.07377039521926</v>
          </cell>
          <cell r="G78">
            <v>23.501908756958223</v>
          </cell>
          <cell r="H78">
            <v>16.411482587683093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E79">
            <v>47.048450347651972</v>
          </cell>
          <cell r="F79">
            <v>46.656898827923193</v>
          </cell>
          <cell r="G79">
            <v>46.598159737357761</v>
          </cell>
          <cell r="H79">
            <v>33.032970394842778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E80">
            <v>37.269437965880591</v>
          </cell>
          <cell r="F80">
            <v>32.571723495000519</v>
          </cell>
          <cell r="G80">
            <v>33.411633644814401</v>
          </cell>
          <cell r="H80">
            <v>23.481191984707319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  <cell r="E81">
            <v>311.418817252628</v>
          </cell>
          <cell r="F81">
            <v>14.6062779781711</v>
          </cell>
          <cell r="G81">
            <v>0.88685219950920902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E82">
            <v>689.47333229352</v>
          </cell>
          <cell r="F82">
            <v>659.57574993944195</v>
          </cell>
          <cell r="G82">
            <v>660.41030239306599</v>
          </cell>
          <cell r="H82">
            <v>437.36426810778102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E83">
            <v>16.094292218369301</v>
          </cell>
          <cell r="F83">
            <v>8.9377473220410799</v>
          </cell>
          <cell r="G83">
            <v>14.142139478873499</v>
          </cell>
          <cell r="H83">
            <v>0.65767195722536398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E84">
            <v>1522.8535352149299</v>
          </cell>
          <cell r="F84">
            <v>1526.96065029037</v>
          </cell>
          <cell r="G84">
            <v>1325.50765389244</v>
          </cell>
          <cell r="H84">
            <v>925.60761794532596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E85">
            <v>2653.5325996075699</v>
          </cell>
          <cell r="F85">
            <v>2631.4490938948702</v>
          </cell>
          <cell r="G85">
            <v>2628.1362091869801</v>
          </cell>
          <cell r="H85">
            <v>1863.0595302691299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E86">
            <v>2267.7887470943801</v>
          </cell>
          <cell r="F86">
            <v>2002.1091736533201</v>
          </cell>
          <cell r="G86">
            <v>1876.4082223078899</v>
          </cell>
          <cell r="H86">
            <v>986.85193939226201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E87">
            <v>4514.48390889236</v>
          </cell>
          <cell r="F87">
            <v>3846.5271860550502</v>
          </cell>
          <cell r="G87">
            <v>3678.5936123202</v>
          </cell>
          <cell r="H87">
            <v>1737.20452970258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E88">
            <v>5916.0218112789098</v>
          </cell>
          <cell r="F88">
            <v>5471.6231519150797</v>
          </cell>
          <cell r="G88">
            <v>5235.5133600794297</v>
          </cell>
          <cell r="H88">
            <v>3150.48177492378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E90">
            <v>2101.9963012756698</v>
          </cell>
          <cell r="F90">
            <v>1837.04520511803</v>
          </cell>
          <cell r="G90">
            <v>1884.4161375675301</v>
          </cell>
          <cell r="H90">
            <v>1324.33922793749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E92">
            <v>5.7132550663994524</v>
          </cell>
          <cell r="F92">
            <v>0.25826956983534555</v>
          </cell>
          <cell r="G92">
            <v>1.8145335081572969E-2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E93">
            <v>9.1988917793101805</v>
          </cell>
          <cell r="F93">
            <v>8.8000008988996115</v>
          </cell>
          <cell r="G93">
            <v>8.8111965160139842</v>
          </cell>
          <cell r="H93">
            <v>7.1023341215044216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E98">
            <v>2.972470664767791</v>
          </cell>
          <cell r="F98">
            <v>2.9710197577551667</v>
          </cell>
          <cell r="G98">
            <v>4.4361801846550222</v>
          </cell>
          <cell r="H98">
            <v>3.0680181693663107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H102">
            <v>2.1347192942517315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H103">
            <v>2.6242197817634044E-6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H104">
            <v>2.6242197817634044E-6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E105">
            <v>1.1764740432569534</v>
          </cell>
          <cell r="F105">
            <v>3.3031099116995577</v>
          </cell>
          <cell r="G105">
            <v>2.4512106508180462</v>
          </cell>
          <cell r="H105">
            <v>2.4511233110577977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E106">
            <v>0.20989650797049986</v>
          </cell>
          <cell r="F106">
            <v>1.4165881403352856E-4</v>
          </cell>
          <cell r="G106">
            <v>2.4841566765537696E-3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E108">
            <v>2.3293975923680408E-2</v>
          </cell>
          <cell r="F108">
            <v>1.6775180182887473E-2</v>
          </cell>
          <cell r="G108">
            <v>2.5661568703831241E-3</v>
          </cell>
          <cell r="H108">
            <v>2.5381702735485529E-4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E109">
            <v>0.30590662467220447</v>
          </cell>
          <cell r="F109">
            <v>1.5057278331903059</v>
          </cell>
          <cell r="G109">
            <v>4.0388507661247245E-3</v>
          </cell>
          <cell r="H109">
            <v>7.125699945034565E-4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E110">
            <v>0.31046933933503029</v>
          </cell>
          <cell r="F110">
            <v>1.7803698548807694</v>
          </cell>
          <cell r="G110">
            <v>4.0758906616505507E-3</v>
          </cell>
          <cell r="H110">
            <v>7.3494967778758706E-4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E111">
            <v>0.32692156983496323</v>
          </cell>
          <cell r="F111">
            <v>1.6280872324424606E-4</v>
          </cell>
          <cell r="G111">
            <v>2.4380948820338948</v>
          </cell>
          <cell r="H111">
            <v>2.4494671783970818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E112">
            <v>9.3551334096814145</v>
          </cell>
          <cell r="F112">
            <v>8.9494674347278504</v>
          </cell>
          <cell r="G112">
            <v>8.9607910772464852</v>
          </cell>
          <cell r="H112">
            <v>5.9343862701191412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E113">
            <v>30.770539309285983</v>
          </cell>
          <cell r="F113">
            <v>27.165660429488788</v>
          </cell>
          <cell r="G113">
            <v>25.460084427515408</v>
          </cell>
          <cell r="H113">
            <v>13.390121294331909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E114">
            <v>61.254869862854285</v>
          </cell>
          <cell r="F114">
            <v>52.191685021099737</v>
          </cell>
          <cell r="G114">
            <v>49.913074794032575</v>
          </cell>
          <cell r="H114">
            <v>23.571296196778533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E115">
            <v>3.798091949303426</v>
          </cell>
          <cell r="F115">
            <v>10.103738166172031</v>
          </cell>
          <cell r="G115">
            <v>12.540177973050511</v>
          </cell>
          <cell r="H115">
            <v>12.540421597216916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E116">
            <v>0.3076723560055783</v>
          </cell>
          <cell r="F116">
            <v>0.1767314458982015</v>
          </cell>
          <cell r="G116">
            <v>0.25462163975563346</v>
          </cell>
          <cell r="H116">
            <v>1.1937255146848957E-2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E117">
            <v>9.428330399914163</v>
          </cell>
          <cell r="F117">
            <v>10.113852772051716</v>
          </cell>
          <cell r="G117">
            <v>9.4013286998200112</v>
          </cell>
          <cell r="H117">
            <v>7.7562756402368729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E119">
            <v>80.162897171800836</v>
          </cell>
          <cell r="F119">
            <v>74.141235120800587</v>
          </cell>
          <cell r="G119">
            <v>70.941915448230887</v>
          </cell>
          <cell r="H119">
            <v>42.689454944766659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E120">
            <v>0.43672966925582346</v>
          </cell>
          <cell r="F120">
            <v>0.55206768262756589</v>
          </cell>
          <cell r="G120">
            <v>4.0588397060294454</v>
          </cell>
          <cell r="H120">
            <v>8.2117635912634483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E121">
            <v>27.219898609328194</v>
          </cell>
          <cell r="F121">
            <v>28.48848834550672</v>
          </cell>
          <cell r="G121">
            <v>23.431094175302199</v>
          </cell>
          <cell r="H121">
            <v>16.359886886161966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H122">
            <v>9.4306581596725185E-6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H123">
            <v>4.2287374623679107E-5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H124">
            <v>7.7086860314685492E-6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9.3820304107846838E-6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1.5766000021753403E-5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H128">
            <v>9.8134257933612449E-6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H129">
            <v>4.1858121349969784E-5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H130">
            <v>1.3622556476749952E-5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9.9422033849457435E-6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8.4799356949128525E-6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E136">
            <v>3.4656883188169522E-3</v>
          </cell>
          <cell r="F136">
            <v>5.5161528493874561E-3</v>
          </cell>
          <cell r="G136">
            <v>5.5310075555088899E-3</v>
          </cell>
          <cell r="H136">
            <v>0.10062698565545328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H137">
            <v>2.5979775839457691E-6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H138">
            <v>9.4306581596725185E-6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H139">
            <v>4.2287374623679107E-5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H140">
            <v>7.7086860314685492E-6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H141">
            <v>9.3820304107846838E-6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1.5766000021753403E-5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F145">
            <v>2.0492237508256206E-3</v>
          </cell>
          <cell r="G145">
            <v>2.1204450969135712E-3</v>
          </cell>
          <cell r="H145">
            <v>6.7076569421070957E-5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</row>
        <row r="147">
          <cell r="A147" t="str">
            <v>H2</v>
          </cell>
          <cell r="B147" t="str">
            <v>VAR_fin</v>
          </cell>
          <cell r="C147" t="str">
            <v>D-INGA</v>
          </cell>
          <cell r="H147">
            <v>9.2632072383369748E-2</v>
          </cell>
        </row>
        <row r="148">
          <cell r="A148" t="str">
            <v>H2</v>
          </cell>
          <cell r="B148" t="str">
            <v>VAR_fin</v>
          </cell>
          <cell r="C148" t="str">
            <v>SUP_H2DSL</v>
          </cell>
        </row>
        <row r="149">
          <cell r="A149" t="str">
            <v>AUX_H2STG_OUT</v>
          </cell>
          <cell r="B149" t="str">
            <v>VAR_fout</v>
          </cell>
          <cell r="C149" t="str">
            <v>STG-H2</v>
          </cell>
          <cell r="H149">
            <v>9.8134257933612449E-6</v>
          </cell>
        </row>
        <row r="150">
          <cell r="A150" t="str">
            <v>AUX_H2STG_OUT</v>
          </cell>
          <cell r="B150" t="str">
            <v>VAR_fout</v>
          </cell>
          <cell r="C150" t="str">
            <v>STG-H2</v>
          </cell>
          <cell r="H150">
            <v>4.1858121349969784E-5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H151">
            <v>1.3622556476749952E-5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H152">
            <v>9.9422033849457435E-6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H153">
            <v>8.4799356949128525E-6</v>
          </cell>
        </row>
        <row r="154">
          <cell r="A154" t="str">
            <v>RNGA</v>
          </cell>
          <cell r="B154" t="str">
            <v>VAR_fout</v>
          </cell>
          <cell r="C154" t="str">
            <v>D-RNGA</v>
          </cell>
          <cell r="E154">
            <v>47.208107741281346</v>
          </cell>
          <cell r="F154">
            <v>48.283022792420439</v>
          </cell>
          <cell r="G154">
            <v>46.453833302211642</v>
          </cell>
          <cell r="H154">
            <v>32.928511277388097</v>
          </cell>
        </row>
        <row r="155">
          <cell r="A155" t="str">
            <v>CWOD</v>
          </cell>
          <cell r="B155" t="str">
            <v>VAR_fout</v>
          </cell>
          <cell r="C155" t="str">
            <v>D-CWOD</v>
          </cell>
          <cell r="E155">
            <v>9.428330399914163</v>
          </cell>
          <cell r="F155">
            <v>10.113852772051716</v>
          </cell>
          <cell r="G155">
            <v>9.4013286998200112</v>
          </cell>
          <cell r="H155">
            <v>7.7562756402368729</v>
          </cell>
        </row>
        <row r="156">
          <cell r="A156" t="str">
            <v>CWOD</v>
          </cell>
          <cell r="B156" t="str">
            <v>VAR_fin</v>
          </cell>
          <cell r="C156" t="str">
            <v>SUP_WODBIO</v>
          </cell>
          <cell r="F156">
            <v>2.1520327929007966E-4</v>
          </cell>
          <cell r="G156">
            <v>1.3451559598180095E-4</v>
          </cell>
          <cell r="H156">
            <v>5.2708588195387403E-4</v>
          </cell>
        </row>
        <row r="157">
          <cell r="A157" t="str">
            <v>CWOD</v>
          </cell>
          <cell r="B157" t="str">
            <v>VAR_fin</v>
          </cell>
          <cell r="C157" t="str">
            <v>CT_CWODBDS</v>
          </cell>
          <cell r="E157">
            <v>1.874544048928384</v>
          </cell>
          <cell r="F157">
            <v>1.8162899110964612</v>
          </cell>
          <cell r="G157">
            <v>1.8161341461985421</v>
          </cell>
          <cell r="H157">
            <v>3.3837527133660582E-4</v>
          </cell>
        </row>
        <row r="158">
          <cell r="A158" t="str">
            <v>CWOD</v>
          </cell>
          <cell r="B158" t="str">
            <v>VAR_fin</v>
          </cell>
          <cell r="C158" t="str">
            <v>CT_CWODPLT</v>
          </cell>
          <cell r="E158">
            <v>7.118629455210483</v>
          </cell>
          <cell r="F158">
            <v>8.2972111716259267</v>
          </cell>
          <cell r="G158">
            <v>7.1500416592778775</v>
          </cell>
          <cell r="H158">
            <v>7.7552469871793983</v>
          </cell>
        </row>
        <row r="159">
          <cell r="A159" t="str">
            <v>CWOD</v>
          </cell>
          <cell r="B159" t="str">
            <v>VAR_fin</v>
          </cell>
          <cell r="C159" t="str">
            <v>CT_CWODETH</v>
          </cell>
          <cell r="E159">
            <v>0.43515689577529387</v>
          </cell>
          <cell r="F159">
            <v>1.3648605003717377E-4</v>
          </cell>
          <cell r="G159">
            <v>0.43501837874760452</v>
          </cell>
          <cell r="H159">
            <v>1.8772887667172847E-4</v>
          </cell>
        </row>
        <row r="160">
          <cell r="A160" t="str">
            <v>KER</v>
          </cell>
          <cell r="B160" t="str">
            <v>VAR_fout</v>
          </cell>
          <cell r="C160" t="str">
            <v>SUP_H2DSL</v>
          </cell>
        </row>
        <row r="161">
          <cell r="A161" t="str">
            <v>BDS</v>
          </cell>
          <cell r="B161" t="str">
            <v>VAR_fout</v>
          </cell>
          <cell r="C161" t="str">
            <v>IMPBDS</v>
          </cell>
          <cell r="E161">
            <v>2.3605387946778396</v>
          </cell>
          <cell r="F161">
            <v>2.3780125914406773</v>
          </cell>
          <cell r="G161">
            <v>3.8662282646037998</v>
          </cell>
          <cell r="H161">
            <v>4.4080271133046454</v>
          </cell>
        </row>
        <row r="162">
          <cell r="A162" t="str">
            <v>BDS</v>
          </cell>
          <cell r="B162" t="str">
            <v>VAR_fout</v>
          </cell>
          <cell r="C162" t="str">
            <v>CT_CWODBDS</v>
          </cell>
          <cell r="E162">
            <v>0.65785016631984039</v>
          </cell>
          <cell r="F162">
            <v>0.63740653135513703</v>
          </cell>
          <cell r="G162">
            <v>0.63735186741482475</v>
          </cell>
          <cell r="H162">
            <v>1.1874899853890362E-4</v>
          </cell>
        </row>
        <row r="163">
          <cell r="A163" t="str">
            <v>BDS</v>
          </cell>
          <cell r="B163" t="str">
            <v>VAR_fin</v>
          </cell>
          <cell r="C163" t="str">
            <v>D-ILFO</v>
          </cell>
          <cell r="G163">
            <v>6.4625858910560241E-5</v>
          </cell>
          <cell r="H163">
            <v>1.2885798024078323</v>
          </cell>
        </row>
        <row r="164">
          <cell r="A164" t="str">
            <v>BDS</v>
          </cell>
          <cell r="B164" t="str">
            <v>VAR_fin</v>
          </cell>
          <cell r="C164" t="str">
            <v>D-SLFO</v>
          </cell>
          <cell r="G164">
            <v>5.3944557422484368E-5</v>
          </cell>
          <cell r="H164">
            <v>2.7548658544077959E-4</v>
          </cell>
        </row>
        <row r="165">
          <cell r="A165" t="str">
            <v>BDS</v>
          </cell>
          <cell r="B165" t="str">
            <v>VAR_fin</v>
          </cell>
          <cell r="C165" t="str">
            <v>D-RLFO</v>
          </cell>
          <cell r="G165">
            <v>5.4152865512685914E-5</v>
          </cell>
          <cell r="H165">
            <v>2.7781738115073031E-4</v>
          </cell>
        </row>
        <row r="166">
          <cell r="A166" t="str">
            <v>BDS</v>
          </cell>
          <cell r="B166" t="str">
            <v>VAR_fin</v>
          </cell>
          <cell r="C166" t="str">
            <v>D-TBDS1</v>
          </cell>
          <cell r="E166">
            <v>3.0183889609976804</v>
          </cell>
          <cell r="F166">
            <v>3.0154191227958123</v>
          </cell>
          <cell r="G166">
            <v>4.5034113610024207</v>
          </cell>
          <cell r="H166">
            <v>3.1190172398501068</v>
          </cell>
        </row>
        <row r="167">
          <cell r="A167" t="str">
            <v>BIO</v>
          </cell>
          <cell r="B167" t="str">
            <v>VAR_fout</v>
          </cell>
          <cell r="C167" t="str">
            <v>SUP_WSTHTGBIO</v>
          </cell>
        </row>
        <row r="168">
          <cell r="A168" t="str">
            <v>BIO</v>
          </cell>
          <cell r="B168" t="str">
            <v>VAR_fout</v>
          </cell>
          <cell r="C168" t="str">
            <v>SUP_WSTBIO</v>
          </cell>
          <cell r="E168">
            <v>5.6294136963275641</v>
          </cell>
          <cell r="F168">
            <v>5.8893831489002038</v>
          </cell>
          <cell r="G168">
            <v>5.8000306187092692</v>
          </cell>
          <cell r="H168">
            <v>6.921135560652659</v>
          </cell>
        </row>
        <row r="169">
          <cell r="A169" t="str">
            <v>BIO</v>
          </cell>
          <cell r="B169" t="str">
            <v>VAR_fout</v>
          </cell>
          <cell r="C169" t="str">
            <v>D-LBIO</v>
          </cell>
          <cell r="H169">
            <v>2.1347192942517315</v>
          </cell>
        </row>
        <row r="170">
          <cell r="A170" t="str">
            <v>BIO</v>
          </cell>
          <cell r="B170" t="str">
            <v>VAR_fout</v>
          </cell>
          <cell r="C170" t="str">
            <v>SUP_MNRBIO</v>
          </cell>
          <cell r="E170">
            <v>1.3280041780781218</v>
          </cell>
          <cell r="F170">
            <v>3.5327755825776403</v>
          </cell>
          <cell r="G170">
            <v>4.3846776129547322</v>
          </cell>
          <cell r="H170">
            <v>4.384762796229694</v>
          </cell>
        </row>
        <row r="171">
          <cell r="A171" t="str">
            <v>BIO</v>
          </cell>
          <cell r="B171" t="str">
            <v>VAR_fout</v>
          </cell>
          <cell r="C171" t="str">
            <v>SUP_WODBIO</v>
          </cell>
          <cell r="F171">
            <v>1.5940983651117007E-4</v>
          </cell>
          <cell r="G171">
            <v>9.9641182208741425E-5</v>
          </cell>
          <cell r="H171">
            <v>3.9043398663249937E-4</v>
          </cell>
        </row>
        <row r="172">
          <cell r="A172" t="str">
            <v>BIO</v>
          </cell>
          <cell r="B172" t="str">
            <v>VAR_fin</v>
          </cell>
          <cell r="C172" t="str">
            <v>D-IBIO</v>
          </cell>
          <cell r="E172">
            <v>0.43672966925582346</v>
          </cell>
          <cell r="F172">
            <v>0.55206768262756589</v>
          </cell>
          <cell r="G172">
            <v>4.0588397060294454</v>
          </cell>
          <cell r="H172">
            <v>8.2117635912634483</v>
          </cell>
        </row>
        <row r="173">
          <cell r="A173" t="str">
            <v>BIO</v>
          </cell>
          <cell r="B173" t="str">
            <v>VAR_fin</v>
          </cell>
          <cell r="C173" t="str">
            <v>D-EBIO</v>
          </cell>
          <cell r="E173">
            <v>1.1839546275040558</v>
          </cell>
          <cell r="F173">
            <v>1.1839512854084648</v>
          </cell>
          <cell r="G173">
            <v>1.1839532828723747</v>
          </cell>
          <cell r="H173">
            <v>1.183957014577421</v>
          </cell>
        </row>
        <row r="174">
          <cell r="A174" t="str">
            <v>BIO</v>
          </cell>
          <cell r="B174" t="str">
            <v>VAR_fin</v>
          </cell>
          <cell r="C174" t="str">
            <v>D-CBIO</v>
          </cell>
          <cell r="E174">
            <v>1.289073945014247</v>
          </cell>
          <cell r="F174">
            <v>3.619249357089501</v>
          </cell>
          <cell r="G174">
            <v>2.6858151285372931</v>
          </cell>
          <cell r="H174">
            <v>2.685719429520431</v>
          </cell>
        </row>
        <row r="175">
          <cell r="A175" t="str">
            <v>BIO</v>
          </cell>
          <cell r="B175" t="str">
            <v>VAR_fin</v>
          </cell>
          <cell r="C175" t="str">
            <v>D-SBIO</v>
          </cell>
          <cell r="E175">
            <v>4.047678497955741</v>
          </cell>
          <cell r="F175">
            <v>4.5835572344108719</v>
          </cell>
          <cell r="G175">
            <v>3.0432886410802027</v>
          </cell>
          <cell r="H175">
            <v>3.0324895825530755</v>
          </cell>
        </row>
        <row r="176">
          <cell r="A176" t="str">
            <v>TKERintl_SAF</v>
          </cell>
          <cell r="B176" t="str">
            <v>VAR_fout</v>
          </cell>
          <cell r="C176" t="str">
            <v>D-TBDS1intl</v>
          </cell>
          <cell r="H176">
            <v>5.0110895796879804</v>
          </cell>
        </row>
        <row r="177">
          <cell r="A177" t="str">
            <v>EBIO</v>
          </cell>
          <cell r="B177" t="str">
            <v>VAR_fout</v>
          </cell>
          <cell r="C177" t="str">
            <v>D-EBIO</v>
          </cell>
          <cell r="E177">
            <v>1.1839546275040558</v>
          </cell>
          <cell r="F177">
            <v>1.1839512854084648</v>
          </cell>
          <cell r="G177">
            <v>1.1839532828723747</v>
          </cell>
          <cell r="H177">
            <v>1.183957014577421</v>
          </cell>
        </row>
        <row r="178">
          <cell r="A178" t="str">
            <v>PLT</v>
          </cell>
          <cell r="B178" t="str">
            <v>VAR_fout</v>
          </cell>
          <cell r="C178" t="str">
            <v>CT_CWODPLT</v>
          </cell>
          <cell r="E178">
            <v>5.979648742376809</v>
          </cell>
          <cell r="F178">
            <v>6.9696573841657754</v>
          </cell>
          <cell r="G178">
            <v>6.0060349937934179</v>
          </cell>
          <cell r="H178">
            <v>6.5144074692307017</v>
          </cell>
        </row>
        <row r="179">
          <cell r="A179" t="str">
            <v>SLFO</v>
          </cell>
          <cell r="B179" t="str">
            <v>VAR_fout</v>
          </cell>
          <cell r="C179" t="str">
            <v>D-SLFO</v>
          </cell>
          <cell r="E179">
            <v>30.256635442975568</v>
          </cell>
          <cell r="F179">
            <v>26.711962241580274</v>
          </cell>
          <cell r="G179">
            <v>25.03492476187715</v>
          </cell>
          <cell r="H179">
            <v>13.166761500761947</v>
          </cell>
        </row>
        <row r="180">
          <cell r="A180" t="str">
            <v>ETH</v>
          </cell>
          <cell r="B180" t="str">
            <v>VAR_fout</v>
          </cell>
          <cell r="C180" t="str">
            <v>IMPETH</v>
          </cell>
          <cell r="E180">
            <v>4.434150414358708</v>
          </cell>
          <cell r="F180">
            <v>4.2939626316965818</v>
          </cell>
          <cell r="G180">
            <v>3.9001596957830569</v>
          </cell>
          <cell r="H180">
            <v>2.4724733989232108</v>
          </cell>
        </row>
        <row r="181">
          <cell r="A181" t="str">
            <v>ETH</v>
          </cell>
          <cell r="B181" t="str">
            <v>VAR_fout</v>
          </cell>
          <cell r="C181" t="str">
            <v>CT_CWODETH</v>
          </cell>
          <cell r="E181">
            <v>0.20820904104081045</v>
          </cell>
          <cell r="F181">
            <v>6.5304330161327189E-5</v>
          </cell>
          <cell r="G181">
            <v>0.208142764951007</v>
          </cell>
          <cell r="H181">
            <v>8.9822429029535092E-5</v>
          </cell>
        </row>
        <row r="182">
          <cell r="A182" t="str">
            <v>ETH</v>
          </cell>
          <cell r="B182" t="str">
            <v>VAR_fin</v>
          </cell>
          <cell r="C182" t="str">
            <v>D-TGSL</v>
          </cell>
          <cell r="E182">
            <v>4.6423594553995136</v>
          </cell>
          <cell r="F182">
            <v>4.2940279360267422</v>
          </cell>
          <cell r="G182">
            <v>4.1083024607340635</v>
          </cell>
          <cell r="H182">
            <v>2.472563221352241</v>
          </cell>
        </row>
        <row r="183">
          <cell r="A183" t="str">
            <v>TGSL</v>
          </cell>
          <cell r="B183" t="str">
            <v>VAR_fout</v>
          </cell>
          <cell r="C183" t="str">
            <v>D-TGSL</v>
          </cell>
          <cell r="E183">
            <v>83.558949656338839</v>
          </cell>
          <cell r="F183">
            <v>77.282570615550554</v>
          </cell>
          <cell r="G183">
            <v>73.947272046579897</v>
          </cell>
          <cell r="H183">
            <v>44.498311852876668</v>
          </cell>
        </row>
        <row r="184">
          <cell r="A184" t="str">
            <v>RLFO</v>
          </cell>
          <cell r="B184" t="str">
            <v>VAR_fout</v>
          </cell>
          <cell r="C184" t="str">
            <v>D-RLFO</v>
          </cell>
          <cell r="E184">
            <v>60.231842150000404</v>
          </cell>
          <cell r="F184">
            <v>51.320023057297085</v>
          </cell>
          <cell r="G184">
            <v>49.079521555877207</v>
          </cell>
          <cell r="H184">
            <v>23.177901209222835</v>
          </cell>
        </row>
        <row r="185">
          <cell r="A185" t="str">
            <v>CELC_E</v>
          </cell>
          <cell r="B185" t="str">
            <v>VAR_fout</v>
          </cell>
          <cell r="C185" t="str">
            <v>ESOL-PV_E</v>
          </cell>
          <cell r="H185">
            <v>3.7693960503644348E-6</v>
          </cell>
        </row>
        <row r="186">
          <cell r="A186" t="str">
            <v>CELC_E</v>
          </cell>
          <cell r="B186" t="str">
            <v>VAR_fin</v>
          </cell>
          <cell r="C186" t="str">
            <v>SUP_ELCH2_D</v>
          </cell>
          <cell r="H186">
            <v>3.5948216188539758E-6</v>
          </cell>
        </row>
        <row r="187">
          <cell r="A187" t="str">
            <v>CBIO</v>
          </cell>
          <cell r="B187" t="str">
            <v>VAR_fout</v>
          </cell>
          <cell r="C187" t="str">
            <v>D-CBIO</v>
          </cell>
          <cell r="E187">
            <v>1.289073945014247</v>
          </cell>
          <cell r="F187">
            <v>3.619249357089501</v>
          </cell>
          <cell r="G187">
            <v>2.6858151285372931</v>
          </cell>
          <cell r="H187">
            <v>2.685719429520431</v>
          </cell>
        </row>
        <row r="188">
          <cell r="A188" t="str">
            <v>CBIO</v>
          </cell>
          <cell r="B188" t="str">
            <v>VAR_fin</v>
          </cell>
          <cell r="C188" t="str">
            <v>SUP_BIONGA</v>
          </cell>
          <cell r="E188">
            <v>1.289073945014247</v>
          </cell>
          <cell r="F188">
            <v>3.619249357089501</v>
          </cell>
          <cell r="G188">
            <v>2.6858151285372931</v>
          </cell>
          <cell r="H188">
            <v>2.685719429520431</v>
          </cell>
        </row>
        <row r="189">
          <cell r="A189" t="str">
            <v>LTH</v>
          </cell>
          <cell r="B189" t="str">
            <v>VAR_fout</v>
          </cell>
          <cell r="C189" t="str">
            <v>SUP_WODBIO</v>
          </cell>
          <cell r="F189">
            <v>1.9129180381340425E-5</v>
          </cell>
          <cell r="G189">
            <v>1.1956941865048968E-5</v>
          </cell>
          <cell r="H189">
            <v>4.6852078395899952E-5</v>
          </cell>
        </row>
        <row r="190">
          <cell r="A190" t="str">
            <v>LTH</v>
          </cell>
          <cell r="B190" t="str">
            <v>VAR_fout</v>
          </cell>
          <cell r="C190" t="str">
            <v>CT_CWODBDS</v>
          </cell>
          <cell r="E190">
            <v>0.25656156486473763</v>
          </cell>
          <cell r="F190">
            <v>0.2485885472285031</v>
          </cell>
          <cell r="G190">
            <v>0.24856722829178118</v>
          </cell>
          <cell r="H190">
            <v>4.6312109430172423E-5</v>
          </cell>
        </row>
        <row r="191">
          <cell r="A191" t="str">
            <v>LTH</v>
          </cell>
          <cell r="B191" t="str">
            <v>VAR_fin</v>
          </cell>
          <cell r="C191" t="str">
            <v>D-CHEAT</v>
          </cell>
        </row>
        <row r="192">
          <cell r="A192" t="str">
            <v>LNGA</v>
          </cell>
          <cell r="B192" t="str">
            <v>VAR_fin</v>
          </cell>
          <cell r="C192" t="str">
            <v>D-LNGA</v>
          </cell>
          <cell r="H192">
            <v>5.6624603327351335E-4</v>
          </cell>
        </row>
        <row r="193">
          <cell r="A193" t="str">
            <v>IH2</v>
          </cell>
          <cell r="B193" t="str">
            <v>VAR_fout</v>
          </cell>
          <cell r="C193" t="str">
            <v>D-INGA</v>
          </cell>
          <cell r="H193">
            <v>9.2632700323708378E-2</v>
          </cell>
        </row>
        <row r="194">
          <cell r="A194" t="str">
            <v>WHEAT</v>
          </cell>
          <cell r="B194" t="str">
            <v>VAR_fin</v>
          </cell>
          <cell r="C194" t="str">
            <v>D-CHEAT</v>
          </cell>
        </row>
        <row r="195">
          <cell r="A195" t="str">
            <v>SOL</v>
          </cell>
          <cell r="B195" t="str">
            <v>VAR_fin</v>
          </cell>
          <cell r="C195" t="str">
            <v>ESOL-PV_A</v>
          </cell>
          <cell r="H195">
            <v>0.34128021842647699</v>
          </cell>
        </row>
        <row r="196">
          <cell r="A196" t="str">
            <v>SOL</v>
          </cell>
          <cell r="B196" t="str">
            <v>VAR_fin</v>
          </cell>
          <cell r="C196" t="str">
            <v>ESOL-PV_E</v>
          </cell>
          <cell r="H196">
            <v>3.7693960503644348E-6</v>
          </cell>
        </row>
        <row r="197">
          <cell r="A197" t="str">
            <v>TKER</v>
          </cell>
          <cell r="B197" t="str">
            <v>VAR_fout</v>
          </cell>
          <cell r="C197" t="str">
            <v>D-TBDS1</v>
          </cell>
          <cell r="E197">
            <v>1.5598627499279101E-3</v>
          </cell>
          <cell r="F197">
            <v>8.6437936975150299E-5</v>
          </cell>
          <cell r="G197">
            <v>1.04857134470043E-3</v>
          </cell>
          <cell r="H197">
            <v>5.1621601404128001E-3</v>
          </cell>
        </row>
        <row r="198">
          <cell r="A198" t="str">
            <v>BDS1</v>
          </cell>
          <cell r="B198" t="str">
            <v>VAR_fout</v>
          </cell>
          <cell r="C198" t="str">
            <v>IMPBDS1</v>
          </cell>
          <cell r="H198">
            <v>5.0110895796879804</v>
          </cell>
        </row>
        <row r="199">
          <cell r="A199" t="str">
            <v>BDS1</v>
          </cell>
          <cell r="B199" t="str">
            <v>VAR_fin</v>
          </cell>
          <cell r="C199" t="str">
            <v>D-TBDS1intl</v>
          </cell>
          <cell r="H199">
            <v>5.0110895796879804</v>
          </cell>
        </row>
        <row r="200">
          <cell r="A200" t="str">
            <v>CELC</v>
          </cell>
          <cell r="B200" t="str">
            <v>VAR_fout</v>
          </cell>
          <cell r="C200" t="str">
            <v>D-CELC</v>
          </cell>
          <cell r="E200">
            <v>0.39224292968669427</v>
          </cell>
          <cell r="F200">
            <v>5.2355270182909711E-2</v>
          </cell>
          <cell r="G200">
            <v>0.39346782113289019</v>
          </cell>
          <cell r="H200">
            <v>0.13800074766839482</v>
          </cell>
        </row>
        <row r="201">
          <cell r="A201" t="str">
            <v>CELC</v>
          </cell>
          <cell r="B201" t="str">
            <v>VAR_fin</v>
          </cell>
          <cell r="C201" t="str">
            <v>SUP_H2NGA</v>
          </cell>
        </row>
        <row r="202">
          <cell r="A202" t="str">
            <v>CELC</v>
          </cell>
          <cell r="B202" t="str">
            <v>VAR_fin</v>
          </cell>
          <cell r="C202" t="str">
            <v>SUP_ELCH2_SOEC</v>
          </cell>
        </row>
        <row r="203">
          <cell r="A203" t="str">
            <v>CELC</v>
          </cell>
          <cell r="B203" t="str">
            <v>VAR_fin</v>
          </cell>
          <cell r="C203" t="str">
            <v>SUP_ELCH2</v>
          </cell>
          <cell r="E203">
            <v>5.059399005572186E-3</v>
          </cell>
          <cell r="F203">
            <v>7.9483470452268758E-3</v>
          </cell>
          <cell r="G203">
            <v>7.8176785236874751E-3</v>
          </cell>
          <cell r="H203">
            <v>0.13784518582938796</v>
          </cell>
        </row>
        <row r="204">
          <cell r="A204" t="str">
            <v>CELC</v>
          </cell>
          <cell r="B204" t="str">
            <v>VAR_fin</v>
          </cell>
          <cell r="C204" t="str">
            <v>CT_CWODBDS</v>
          </cell>
          <cell r="E204">
            <v>4.57205865592289E-2</v>
          </cell>
          <cell r="F204">
            <v>4.4299753929182013E-2</v>
          </cell>
          <cell r="G204">
            <v>4.4295954785330285E-2</v>
          </cell>
          <cell r="H204">
            <v>8.2530553984537979E-6</v>
          </cell>
        </row>
        <row r="205">
          <cell r="A205" t="str">
            <v>CELC</v>
          </cell>
          <cell r="B205" t="str">
            <v>VAR_fin</v>
          </cell>
          <cell r="C205" t="str">
            <v>CT_CWODETH</v>
          </cell>
          <cell r="E205">
            <v>0.34146282730692895</v>
          </cell>
          <cell r="F205">
            <v>1.0709910146457655E-4</v>
          </cell>
          <cell r="G205">
            <v>0.34135413451965146</v>
          </cell>
          <cell r="H205">
            <v>1.4730878360843771E-4</v>
          </cell>
        </row>
        <row r="206">
          <cell r="A206" t="str">
            <v>CELC</v>
          </cell>
          <cell r="B206" t="str">
            <v>VAR_fin</v>
          </cell>
          <cell r="C206" t="str">
            <v>SUP_DAC</v>
          </cell>
        </row>
        <row r="207">
          <cell r="A207" t="str">
            <v>SBIO</v>
          </cell>
          <cell r="B207" t="str">
            <v>VAR_fout</v>
          </cell>
          <cell r="C207" t="str">
            <v>D-SBIO</v>
          </cell>
          <cell r="E207">
            <v>4.047678497955741</v>
          </cell>
          <cell r="F207">
            <v>4.5835572344108719</v>
          </cell>
          <cell r="G207">
            <v>3.0432886410802027</v>
          </cell>
          <cell r="H207">
            <v>3.0324895825530755</v>
          </cell>
        </row>
        <row r="208">
          <cell r="A208" t="str">
            <v>INGA</v>
          </cell>
          <cell r="B208" t="str">
            <v>VAR_fout</v>
          </cell>
          <cell r="C208" t="str">
            <v>D-INGA</v>
          </cell>
          <cell r="E208">
            <v>37.47663594044554</v>
          </cell>
          <cell r="F208">
            <v>32.468125775863371</v>
          </cell>
          <cell r="G208">
            <v>35.735566984568884</v>
          </cell>
          <cell r="H208">
            <v>25.847743004470814</v>
          </cell>
        </row>
        <row r="209">
          <cell r="A209" t="str">
            <v>DSL</v>
          </cell>
          <cell r="B209" t="str">
            <v>VAR_fout</v>
          </cell>
          <cell r="C209" t="str">
            <v>SUP_H2DSL</v>
          </cell>
        </row>
        <row r="210">
          <cell r="A210" t="str">
            <v>WSTREN</v>
          </cell>
          <cell r="B210" t="str">
            <v>VAR_fin</v>
          </cell>
          <cell r="C210" t="str">
            <v>D-CWST</v>
          </cell>
          <cell r="E210">
            <v>9.6793747498569367</v>
          </cell>
          <cell r="F210">
            <v>10.126373654308987</v>
          </cell>
          <cell r="G210">
            <v>9.9727383609692488</v>
          </cell>
          <cell r="H210">
            <v>11.900398229716481</v>
          </cell>
        </row>
        <row r="211">
          <cell r="A211" t="str">
            <v>SOLPVC</v>
          </cell>
          <cell r="B211" t="str">
            <v>VAR_fin</v>
          </cell>
          <cell r="C211" t="str">
            <v>ESOL-PV_A</v>
          </cell>
          <cell r="H211">
            <v>0.34128021842647699</v>
          </cell>
        </row>
        <row r="212">
          <cell r="A212" t="str">
            <v>SOLPVC</v>
          </cell>
          <cell r="B212" t="str">
            <v>VAR_fin</v>
          </cell>
          <cell r="C212" t="str">
            <v>ESOL-PV_E</v>
          </cell>
          <cell r="H212">
            <v>3.7693960503644399E-6</v>
          </cell>
        </row>
        <row r="213">
          <cell r="A213" t="str">
            <v>KERintl</v>
          </cell>
          <cell r="B213" t="str">
            <v>VAR_fout</v>
          </cell>
          <cell r="C213" t="str">
            <v>SUP_H2DSL</v>
          </cell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1.7806926352750801E-2</v>
          </cell>
          <cell r="E4">
            <v>1.7874961880019299E-2</v>
          </cell>
          <cell r="F4">
            <v>1.7823126657175201E-2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4.4102707222531861E-3</v>
          </cell>
          <cell r="E5">
            <v>3.5455164613485989E-3</v>
          </cell>
          <cell r="F5">
            <v>2.2166626159768228E-3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3.1572564455231906E-4</v>
          </cell>
          <cell r="E6">
            <v>3.1693194822729205E-4</v>
          </cell>
          <cell r="F6">
            <v>3.160128839924687E-4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3.5184423280012522</v>
          </cell>
          <cell r="E8">
            <v>0.49211555228362103</v>
          </cell>
          <cell r="F8">
            <v>0.65067513101072649</v>
          </cell>
          <cell r="G8">
            <v>0.62483099670065712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6.4394764545055508E-3</v>
          </cell>
          <cell r="E9">
            <v>9.0509835468721776E-4</v>
          </cell>
          <cell r="F9">
            <v>1.2000723980306945E-3</v>
          </cell>
          <cell r="G9">
            <v>1.2149040866596484E-3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6.2383729219880307E-2</v>
          </cell>
          <cell r="E10">
            <v>8.7254530546741395E-3</v>
          </cell>
          <cell r="F10">
            <v>1.1536793103027073E-2</v>
          </cell>
          <cell r="G10">
            <v>1.1078563771288238E-2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7.24439469737605E-7</v>
          </cell>
          <cell r="F11">
            <v>1.6501087848950201E-6</v>
          </cell>
          <cell r="G11">
            <v>1.7088389281689101E-5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1.219894615338703E-4</v>
          </cell>
          <cell r="E12">
            <v>2.3136413198293604E-5</v>
          </cell>
          <cell r="F12">
            <v>2.3141370919904431E-5</v>
          </cell>
          <cell r="G12">
            <v>2.3144801468754181E-5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2.1079250968609133E-4</v>
          </cell>
          <cell r="E13">
            <v>1.2952725464266638E-3</v>
          </cell>
          <cell r="F13">
            <v>1.5068526751996166E-3</v>
          </cell>
          <cell r="G13">
            <v>2.1185320160925433E-3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2.1079250968609133E-4</v>
          </cell>
          <cell r="E14">
            <v>1.2952725464266638E-3</v>
          </cell>
          <cell r="F14">
            <v>1.5068526751996166E-3</v>
          </cell>
          <cell r="G14">
            <v>2.1185320160925433E-3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1.1695693339052E-4</v>
          </cell>
          <cell r="F15">
            <v>8.6452286024419595E-5</v>
          </cell>
          <cell r="G15">
            <v>1.3874136604766701E-4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2.5987097647235018E-5</v>
          </cell>
          <cell r="E16">
            <v>1.412605808079979E-4</v>
          </cell>
          <cell r="F16">
            <v>2.1959155713198596E-4</v>
          </cell>
          <cell r="G16">
            <v>3.1253447772141147E-4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2.7146677496205111E-3</v>
          </cell>
          <cell r="E17">
            <v>6.9090383894085386E-3</v>
          </cell>
          <cell r="F17">
            <v>6.906487892976567E-3</v>
          </cell>
          <cell r="G17">
            <v>2.087337831875554E-3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1.0101925113884263E-2</v>
          </cell>
          <cell r="E18">
            <v>2.5542473404346608E-2</v>
          </cell>
          <cell r="F18">
            <v>2.5462091461601909E-2</v>
          </cell>
          <cell r="G18">
            <v>7.5730667997680346E-3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1.8195296144067901E-5</v>
          </cell>
          <cell r="F19">
            <v>8.7707157753449693E-6</v>
          </cell>
          <cell r="G19">
            <v>5.7723024102616398E-6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1.301952961440679E-4</v>
          </cell>
          <cell r="F20">
            <v>1.314228296633348E-4</v>
          </cell>
          <cell r="G20">
            <v>3.99218155487171E-5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5.1497124222844678E-2</v>
          </cell>
          <cell r="E21">
            <v>9.902956984012834E-2</v>
          </cell>
          <cell r="F21">
            <v>9.5732834515817503E-2</v>
          </cell>
          <cell r="G21">
            <v>9.1375474441998852E-2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5.1497124222844678E-2</v>
          </cell>
          <cell r="E22">
            <v>9.902956984012834E-2</v>
          </cell>
          <cell r="F22">
            <v>9.5732834515817503E-2</v>
          </cell>
          <cell r="G22">
            <v>9.1375474441998852E-2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4.5879700738181401E-5</v>
          </cell>
          <cell r="F23">
            <v>1.10549472841135E-4</v>
          </cell>
          <cell r="G23">
            <v>1.02217499187755E-3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4.8858709226447684E-3</v>
          </cell>
          <cell r="E24">
            <v>7.5142737069633769E-3</v>
          </cell>
          <cell r="F24">
            <v>7.3461983013283052E-3</v>
          </cell>
          <cell r="G24">
            <v>6.9447349444352697E-3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10.918783246580098</v>
          </cell>
          <cell r="E25">
            <v>12.443325179389509</v>
          </cell>
          <cell r="F25">
            <v>15.747316862383171</v>
          </cell>
          <cell r="G25">
            <v>33.591127119236177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8.5488299116913847E-3</v>
          </cell>
          <cell r="E27">
            <v>0.12366425808959364</v>
          </cell>
          <cell r="F27">
            <v>0.21054556067735913</v>
          </cell>
          <cell r="G27">
            <v>1.9165294836479383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5.54670574509461E-2</v>
          </cell>
          <cell r="E28">
            <v>1.573908578528047E-3</v>
          </cell>
          <cell r="F28">
            <v>1.8211314851499026E-3</v>
          </cell>
          <cell r="G28">
            <v>1.9533023901631714E-3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4.8519507313277289E-2</v>
          </cell>
          <cell r="E29">
            <v>1.5336247949669468E-3</v>
          </cell>
          <cell r="F29">
            <v>1.7737543496969496E-3</v>
          </cell>
          <cell r="G29">
            <v>0.67517459011346881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10.80624785190418</v>
          </cell>
          <cell r="E30">
            <v>12.316561905121821</v>
          </cell>
          <cell r="F30">
            <v>15.533186485373005</v>
          </cell>
          <cell r="G30">
            <v>30.997474745550782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4.9161090031127071E-2</v>
          </cell>
          <cell r="E31">
            <v>0.35954241657175828</v>
          </cell>
          <cell r="F31">
            <v>1.1877569343489858</v>
          </cell>
          <cell r="G31">
            <v>5.2039722711673511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4.9161090031127071E-2</v>
          </cell>
          <cell r="E32">
            <v>0.35954241657175828</v>
          </cell>
          <cell r="F32">
            <v>1.1877569343489858</v>
          </cell>
          <cell r="G32">
            <v>5.2039722711673511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1.4316364955925E-2</v>
          </cell>
          <cell r="F33">
            <v>5.9104094576763397E-2</v>
          </cell>
          <cell r="G33">
            <v>0.30368790900381099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4.0686799017325458E-3</v>
          </cell>
          <cell r="E34">
            <v>2.4728879757073382E-2</v>
          </cell>
          <cell r="F34">
            <v>8.168847807657964E-2</v>
          </cell>
          <cell r="G34">
            <v>0.357829213462454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1.2410361825887827E-5</v>
          </cell>
          <cell r="E35">
            <v>1.1710582479168932E-3</v>
          </cell>
          <cell r="F35">
            <v>1.3934931894211298E-3</v>
          </cell>
          <cell r="G35">
            <v>2.0565579842679038E-3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1.2410361825887827E-5</v>
          </cell>
          <cell r="E36">
            <v>1.1710582479168932E-3</v>
          </cell>
          <cell r="F36">
            <v>1.3934931894211298E-3</v>
          </cell>
          <cell r="G36">
            <v>2.0565579842679038E-3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1.26532945845148E-4</v>
          </cell>
          <cell r="F37">
            <v>8.73014773618774E-5</v>
          </cell>
          <cell r="G37">
            <v>1.41335713906125E-4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1.2636839364101499E-4</v>
          </cell>
          <cell r="F38">
            <v>2.0525262086424151E-4</v>
          </cell>
          <cell r="G38">
            <v>3.0543067162731267E-4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8.8897019044153272E-2</v>
          </cell>
          <cell r="E39">
            <v>0.16124478878615608</v>
          </cell>
          <cell r="F39">
            <v>0.15663220665003855</v>
          </cell>
          <cell r="G39">
            <v>0.19650445028350627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8.8897019044153272E-2</v>
          </cell>
          <cell r="E40">
            <v>0.16124478878615608</v>
          </cell>
          <cell r="F40">
            <v>0.15663220665003855</v>
          </cell>
          <cell r="G40">
            <v>0.19650445028350627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2.5039492511093098E-4</v>
          </cell>
          <cell r="F41">
            <v>2.17235887744316E-4</v>
          </cell>
          <cell r="G41">
            <v>5.899037720065E-3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7.2626549955777863E-3</v>
          </cell>
          <cell r="E42">
            <v>1.2705560811982739E-2</v>
          </cell>
          <cell r="F42">
            <v>1.2389431581344703E-2</v>
          </cell>
          <cell r="G42">
            <v>1.5509224316105855E-2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2.833653646290381E-6</v>
          </cell>
          <cell r="E43">
            <v>8.0951443644661854E-4</v>
          </cell>
          <cell r="F43">
            <v>2.2758635604800547E-3</v>
          </cell>
          <cell r="G43">
            <v>1.6282761396436574E-2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2.833653646290381E-6</v>
          </cell>
          <cell r="E44">
            <v>8.0951443644661854E-4</v>
          </cell>
          <cell r="F44">
            <v>2.2758635604800547E-3</v>
          </cell>
          <cell r="G44">
            <v>1.6282761396436574E-2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6.21261899497392E-5</v>
          </cell>
          <cell r="F45">
            <v>1.26344807813302E-4</v>
          </cell>
          <cell r="G45">
            <v>1.1454242527236E-3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6.1549408188506463E-5</v>
          </cell>
          <cell r="F46">
            <v>1.8268609546333501E-4</v>
          </cell>
          <cell r="G46">
            <v>1.2421930016951422E-3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4.40203543265676E-5</v>
          </cell>
          <cell r="E49">
            <v>5.4053256445363303E-5</v>
          </cell>
          <cell r="F49">
            <v>8.1078982202537793E-5</v>
          </cell>
          <cell r="G49">
            <v>1.35132673230956E-4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2.0938228521917477E-3</v>
          </cell>
          <cell r="E50">
            <v>2.147876108637111E-3</v>
          </cell>
          <cell r="F50">
            <v>2.2289550908396491E-3</v>
          </cell>
          <cell r="G50">
            <v>2.3640877640706049E-3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5.3969100623111417E-5</v>
          </cell>
          <cell r="E51">
            <v>0.33010183875249038</v>
          </cell>
          <cell r="F51">
            <v>0.98774820819294173</v>
          </cell>
          <cell r="G51">
            <v>3.742187009296702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5.3969100623111417E-5</v>
          </cell>
          <cell r="E52">
            <v>0.33010183875249038</v>
          </cell>
          <cell r="F52">
            <v>0.98774820819294173</v>
          </cell>
          <cell r="G52">
            <v>3.742187009296702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2.3000675056823398E-2</v>
          </cell>
          <cell r="F53">
            <v>4.71503632967126E-2</v>
          </cell>
          <cell r="G53">
            <v>0.21012789933698101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2.2698488993579173E-2</v>
          </cell>
          <cell r="F54">
            <v>6.7922013386565436E-2</v>
          </cell>
          <cell r="G54">
            <v>0.25731022982522467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2.959234083824252E-3</v>
          </cell>
          <cell r="E55">
            <v>1.2779690601356794E-2</v>
          </cell>
          <cell r="F55">
            <v>1.4742127181154797E-2</v>
          </cell>
          <cell r="G55">
            <v>7.3893495175604715E-2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2.959234083824252E-3</v>
          </cell>
          <cell r="E56">
            <v>1.2779690601356794E-2</v>
          </cell>
          <cell r="F56">
            <v>1.4742127181154797E-2</v>
          </cell>
          <cell r="G56">
            <v>7.3893495175604715E-2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3.3632965404995098E-4</v>
          </cell>
          <cell r="F57">
            <v>2.2937074679534099E-4</v>
          </cell>
          <cell r="G57">
            <v>5.1560028999108401E-3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2.5902849676736028E-4</v>
          </cell>
          <cell r="E58">
            <v>1.0118985419219073E-3</v>
          </cell>
          <cell r="F58">
            <v>1.1918014037983439E-3</v>
          </cell>
          <cell r="G58">
            <v>5.8427312744745294E-3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9.3186587566672503E-8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3.9755071324195189E-7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1.3187212900772799E-8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1.3187212900772799E-8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2.1138406787050371E-4</v>
          </cell>
          <cell r="E63">
            <v>1.1638769709519437E-3</v>
          </cell>
          <cell r="F63">
            <v>1.319357846802948E-3</v>
          </cell>
          <cell r="G63">
            <v>1.6952181871065419E-3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2.1858448458966201E-2</v>
          </cell>
          <cell r="E64">
            <v>0.1203522339144118</v>
          </cell>
          <cell r="F64">
            <v>0.13642993903846151</v>
          </cell>
          <cell r="G64">
            <v>0.17529627347445431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2.9618493846837626E-4</v>
          </cell>
          <cell r="E65">
            <v>1.6307890774310556E-3</v>
          </cell>
          <cell r="F65">
            <v>1.8486441604127579E-3</v>
          </cell>
          <cell r="G65">
            <v>2.3752882584614386E-3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5.78790732453594</v>
          </cell>
          <cell r="E66">
            <v>10.959814767497392</v>
          </cell>
          <cell r="F66">
            <v>10.273218918866821</v>
          </cell>
          <cell r="G66">
            <v>8.8148768822100223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4.5959445862668036E-2</v>
          </cell>
          <cell r="E67">
            <v>8.7027484240524061E-2</v>
          </cell>
          <cell r="F67">
            <v>8.1575502554345425E-2</v>
          </cell>
          <cell r="G67">
            <v>6.9995394559379392E-2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7.8426928516747263E-2</v>
          </cell>
          <cell r="E68">
            <v>0.14850697516934122</v>
          </cell>
          <cell r="F68">
            <v>0.13920350838572915</v>
          </cell>
          <cell r="G68">
            <v>0.11944277618170758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1.3804019160636012E-4</v>
          </cell>
          <cell r="F70">
            <v>1.9989339375869384E-4</v>
          </cell>
          <cell r="G70">
            <v>1.2923290044448846E-3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1.3804019160636009E-4</v>
          </cell>
          <cell r="F71">
            <v>1.9989339375869384E-4</v>
          </cell>
          <cell r="G71">
            <v>1.2923290044448846E-3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1.3891340565053961E-4</v>
          </cell>
          <cell r="F72">
            <v>2.0167649543457691E-4</v>
          </cell>
          <cell r="G72">
            <v>1.2937655995965188E-3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1.3891340565053961E-4</v>
          </cell>
          <cell r="F73">
            <v>2.0167649543457691E-4</v>
          </cell>
          <cell r="G73">
            <v>1.2937655995965188E-3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9.6325282905814803E-3</v>
          </cell>
          <cell r="F74">
            <v>5.3804279906493804E-3</v>
          </cell>
          <cell r="G74">
            <v>1.2626729856800301E-2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9.6325282905814803E-3</v>
          </cell>
          <cell r="F75">
            <v>1.5008406229862789E-2</v>
          </cell>
          <cell r="G75">
            <v>2.7625836564868885E-2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6.6505091100627096</v>
          </cell>
          <cell r="E76">
            <v>40.924308780836</v>
          </cell>
          <cell r="F76">
            <v>129.85264342735718</v>
          </cell>
          <cell r="G76">
            <v>496.43697642026899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4.9161188583539003E-2</v>
          </cell>
          <cell r="E77">
            <v>0.30251633797201</v>
          </cell>
          <cell r="F77">
            <v>0.95988294820081077</v>
          </cell>
          <cell r="G77">
            <v>3.6697088017985822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9.0115299594345624E-2</v>
          </cell>
          <cell r="E78">
            <v>0.55452992927962119</v>
          </cell>
          <cell r="F78">
            <v>1.759520913649824</v>
          </cell>
          <cell r="G78">
            <v>6.7267882983776319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3.6842626199245559E-3</v>
          </cell>
          <cell r="E80">
            <v>8.0504343719625827E-3</v>
          </cell>
          <cell r="F80">
            <v>9.6408126975933584E-3</v>
          </cell>
          <cell r="G80">
            <v>1.6941890387680861E-2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3.6842626199245559E-3</v>
          </cell>
          <cell r="E81">
            <v>8.0504343719625827E-3</v>
          </cell>
          <cell r="F81">
            <v>9.6408126975933567E-3</v>
          </cell>
          <cell r="G81">
            <v>1.6941890387680854E-2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3.6850009078849754E-3</v>
          </cell>
          <cell r="E82">
            <v>8.0522416131877557E-3</v>
          </cell>
          <cell r="F82">
            <v>9.6442610228760824E-3</v>
          </cell>
          <cell r="G82">
            <v>1.6945035517771063E-2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3.6850009078849754E-3</v>
          </cell>
          <cell r="E83">
            <v>8.0522416131877557E-3</v>
          </cell>
          <cell r="F83">
            <v>9.6442610228760824E-3</v>
          </cell>
          <cell r="G83">
            <v>1.6945035517771063E-2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3.0518376479666199E-2</v>
          </cell>
          <cell r="E84">
            <v>2.99289280457244E-2</v>
          </cell>
          <cell r="F84">
            <v>3.7130187237239001E-2</v>
          </cell>
          <cell r="G84">
            <v>4.04930051721221E-2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3.0518376479666199E-2</v>
          </cell>
          <cell r="E85">
            <v>6.0440972855441456E-2</v>
          </cell>
          <cell r="F85">
            <v>9.7553962031260655E-2</v>
          </cell>
          <cell r="G85">
            <v>0.13801939085198869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12.6224689755583</v>
          </cell>
          <cell r="E86">
            <v>19.50903659282632</v>
          </cell>
          <cell r="F86">
            <v>18.258920688859519</v>
          </cell>
          <cell r="G86">
            <v>20.203894300678634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8.8897019044153425E-2</v>
          </cell>
          <cell r="E87">
            <v>0.13739746169182904</v>
          </cell>
          <cell r="F87">
            <v>0.12859319546328643</v>
          </cell>
          <cell r="G87">
            <v>0.14229117773165739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0.17103616498046426</v>
          </cell>
          <cell r="E88">
            <v>0.26435008933369003</v>
          </cell>
          <cell r="F88">
            <v>0.24741084944254069</v>
          </cell>
          <cell r="G88">
            <v>0.2737655054292501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7.8063633882331396E-2</v>
          </cell>
          <cell r="F89">
            <v>0.29787619715706398</v>
          </cell>
          <cell r="G89">
            <v>1.8830405121269973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7.8063633882331396E-2</v>
          </cell>
          <cell r="F90">
            <v>0.29787619715706393</v>
          </cell>
          <cell r="G90">
            <v>1.8830405121269969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7.8072286734148733E-2</v>
          </cell>
          <cell r="F91">
            <v>0.2979083156099146</v>
          </cell>
          <cell r="G91">
            <v>1.8832303961040204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7.8072286734148733E-2</v>
          </cell>
          <cell r="F92">
            <v>0.2979083156099146</v>
          </cell>
          <cell r="G92">
            <v>1.8832303961040204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3.3122343793020899</v>
          </cell>
          <cell r="F93">
            <v>9.3130474166826591</v>
          </cell>
          <cell r="G93">
            <v>44.019457186119297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3.3122343793020899</v>
          </cell>
          <cell r="F94">
            <v>12.623511364782356</v>
          </cell>
          <cell r="G94">
            <v>56.633696005486762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31.346433684990298</v>
          </cell>
          <cell r="F95">
            <v>142.72174611072171</v>
          </cell>
          <cell r="G95">
            <v>230.60904642598842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0.19704530405302048</v>
          </cell>
          <cell r="F96">
            <v>0.89715628067863007</v>
          </cell>
          <cell r="G96">
            <v>1.4496203978746112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0.42764575286480677</v>
          </cell>
          <cell r="F97">
            <v>1.9470906699962112</v>
          </cell>
          <cell r="G97">
            <v>3.1460988598361186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1.37359465006722E-2</v>
          </cell>
          <cell r="F98">
            <v>4.8818053560406902E-2</v>
          </cell>
          <cell r="G98">
            <v>6.66221267372923E-2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1.37359465006722E-2</v>
          </cell>
          <cell r="F99">
            <v>6.2553989400174426E-2</v>
          </cell>
          <cell r="G99">
            <v>0.12735616438330929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4.593813058627612E-4</v>
          </cell>
          <cell r="E100">
            <v>2.3704238001779907E-4</v>
          </cell>
          <cell r="F100">
            <v>2.3411853880966584E-4</v>
          </cell>
          <cell r="G100">
            <v>1.3774313251527413E-5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2.6331803663188322E-3</v>
          </cell>
          <cell r="E101">
            <v>1.3536172506721249E-3</v>
          </cell>
          <cell r="F101">
            <v>1.3359278382005916E-3</v>
          </cell>
          <cell r="G101">
            <v>7.6598458000869598E-5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2.0594907759430201E-7</v>
          </cell>
          <cell r="F102">
            <v>1.2664834480813501E-7</v>
          </cell>
          <cell r="G102">
            <v>8.8405360427982295E-8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1.084647084117867E-5</v>
          </cell>
          <cell r="E103">
            <v>4.6881941589635987E-6</v>
          </cell>
          <cell r="F103">
            <v>4.7888138475343361E-6</v>
          </cell>
          <cell r="G103">
            <v>3.2151998507222161E-7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1.9215069720937169E-2</v>
          </cell>
          <cell r="F104">
            <v>2.2897014091025261E-2</v>
          </cell>
          <cell r="G104">
            <v>5.5854127022293656E-2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1.9215069720937162E-2</v>
          </cell>
          <cell r="F105">
            <v>2.2897014091025261E-2</v>
          </cell>
          <cell r="G105">
            <v>5.5854127022293643E-2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1.9218006304659665E-2</v>
          </cell>
          <cell r="F106">
            <v>2.2901639230491804E-2</v>
          </cell>
          <cell r="G106">
            <v>5.5860775789525509E-2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1.9218006304659665E-2</v>
          </cell>
          <cell r="F107">
            <v>2.2901639230491804E-2</v>
          </cell>
          <cell r="G107">
            <v>5.5860775789525509E-2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4.9217391741118298E-2</v>
          </cell>
          <cell r="F108">
            <v>3.8748258911996403E-2</v>
          </cell>
          <cell r="G108">
            <v>0.95379966667789395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4.9217391741118298E-2</v>
          </cell>
          <cell r="F109">
            <v>8.7959091888892754E-2</v>
          </cell>
          <cell r="G109">
            <v>1.0417380867346973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61.504351076511703</v>
          </cell>
          <cell r="E110">
            <v>130.33032227447899</v>
          </cell>
          <cell r="F110">
            <v>40.020608889825702</v>
          </cell>
          <cell r="G110">
            <v>19.996979925106601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0.23133574577777258</v>
          </cell>
          <cell r="E111">
            <v>0.49477900773949773</v>
          </cell>
          <cell r="F111">
            <v>0.15403648588695135</v>
          </cell>
          <cell r="G111">
            <v>7.6966957811539144E-2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0.83339229100964285</v>
          </cell>
          <cell r="E112">
            <v>1.7659935267544631</v>
          </cell>
          <cell r="F112">
            <v>0.54228467330387153</v>
          </cell>
          <cell r="G112">
            <v>0.27096178760306999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4.5952E-2</v>
          </cell>
          <cell r="E113">
            <v>3.98250666666667E-2</v>
          </cell>
          <cell r="F113">
            <v>3.0634653922429315E-2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2.50946164458749E-2</v>
          </cell>
          <cell r="E114">
            <v>2.6564847072605705E-2</v>
          </cell>
          <cell r="F114">
            <v>2.9169707921216793E-2</v>
          </cell>
          <cell r="G114">
            <v>3.1642706117479824E-2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1.502308910583168</v>
          </cell>
          <cell r="E115">
            <v>1.5903254210532058</v>
          </cell>
          <cell r="F115">
            <v>1.7462674603403225</v>
          </cell>
          <cell r="G115">
            <v>1.8943154384441159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1.79406458700312E-7</v>
          </cell>
          <cell r="E116">
            <v>1.3560394473109699E-4</v>
          </cell>
          <cell r="F116">
            <v>2.40479861149792E-4</v>
          </cell>
          <cell r="G116">
            <v>2.28268150820274E-4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2.3168438941418802E-3</v>
          </cell>
          <cell r="E117">
            <v>2.4524478388729767E-3</v>
          </cell>
          <cell r="F117">
            <v>2.6929277000227688E-3</v>
          </cell>
          <cell r="G117">
            <v>2.9211958508430429E-3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790.60845809078603</v>
          </cell>
          <cell r="E118">
            <v>545.29448426475403</v>
          </cell>
          <cell r="F118">
            <v>399.59883564358199</v>
          </cell>
          <cell r="G118">
            <v>199.77426057670201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2.79395028079098</v>
          </cell>
          <cell r="E119">
            <v>1.9932444826699469</v>
          </cell>
          <cell r="F119">
            <v>1.533460273113417</v>
          </cell>
          <cell r="G119">
            <v>0.76663359564496403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10.785927122657384</v>
          </cell>
          <cell r="E120">
            <v>7.439215337854777</v>
          </cell>
          <cell r="F120">
            <v>5.4515530101443721</v>
          </cell>
          <cell r="G120">
            <v>2.7254332957258147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0.228993</v>
          </cell>
          <cell r="E121">
            <v>0.19846059999999999</v>
          </cell>
          <cell r="F121">
            <v>0.15266194656186405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0.20244555834769828</v>
          </cell>
          <cell r="E122">
            <v>0.16294924205039343</v>
          </cell>
          <cell r="F122">
            <v>0.12776368792672113</v>
          </cell>
          <cell r="G122">
            <v>7.6481383001909074E-3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2.2085856632507346E-3</v>
          </cell>
          <cell r="E123">
            <v>1.8248257340043956E-3</v>
          </cell>
          <cell r="F123">
            <v>1.4248948389985372E-3</v>
          </cell>
          <cell r="G123">
            <v>8.5133632309053979E-5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3.5894602543918176E-3</v>
          </cell>
          <cell r="E124">
            <v>2.8891709583403098E-3</v>
          </cell>
          <cell r="F124">
            <v>2.2653136157220074E-3</v>
          </cell>
          <cell r="G124">
            <v>1.3560528901047702E-4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4.5864592729418504E-6</v>
          </cell>
          <cell r="F125">
            <v>4.3551880200213397E-6</v>
          </cell>
          <cell r="G125">
            <v>3.54373325745163E-7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2.0304845216273409E-4</v>
          </cell>
          <cell r="F126">
            <v>2.0606664604886558E-4</v>
          </cell>
          <cell r="G126">
            <v>1.2271381109643767E-5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0.74193021206790566</v>
          </cell>
          <cell r="E127">
            <v>1.7838273081616607</v>
          </cell>
          <cell r="F127">
            <v>4.4708492561931834</v>
          </cell>
          <cell r="G127">
            <v>18.42501766030313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0.74193021206790566</v>
          </cell>
          <cell r="E128">
            <v>1.7838273081616607</v>
          </cell>
          <cell r="F128">
            <v>4.4708492561931834</v>
          </cell>
          <cell r="G128">
            <v>18.42501766030313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4.9836124212090302E-7</v>
          </cell>
          <cell r="E129">
            <v>3.7271495244253498E-7</v>
          </cell>
          <cell r="F129">
            <v>1.01047375270171</v>
          </cell>
          <cell r="G129">
            <v>9.1548763519097793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1.2762584554192919</v>
          </cell>
          <cell r="E130">
            <v>1.2762588281342444</v>
          </cell>
          <cell r="F130">
            <v>2.28673258083596</v>
          </cell>
          <cell r="G130">
            <v>11.44160893274575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3.154343203745765</v>
          </cell>
          <cell r="E131">
            <v>3.1244254456732667</v>
          </cell>
          <cell r="F131">
            <v>3.3122026048572808</v>
          </cell>
          <cell r="G131">
            <v>4.4954035245696276E-3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3.5313495235920339E-2</v>
          </cell>
          <cell r="E132">
            <v>3.5041940021644499E-2</v>
          </cell>
          <cell r="F132">
            <v>3.6432049345765681E-2</v>
          </cell>
          <cell r="G132">
            <v>4.2260455613466495E-5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5.5928070988400046E-2</v>
          </cell>
          <cell r="E133">
            <v>5.5397614284986886E-2</v>
          </cell>
          <cell r="F133">
            <v>5.8726996540022613E-2</v>
          </cell>
          <cell r="G133">
            <v>7.9705736251234455E-5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2.8451626831661999E-6</v>
          </cell>
          <cell r="F134">
            <v>3.0725444890786298E-6</v>
          </cell>
          <cell r="G134">
            <v>3.6766852747673398E-7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2.6902262041879873E-3</v>
          </cell>
          <cell r="E135">
            <v>2.803376744537448E-3</v>
          </cell>
          <cell r="F135">
            <v>2.7689672645055206E-3</v>
          </cell>
          <cell r="G135">
            <v>3.5658238121557238E-6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325.95326297549661</v>
          </cell>
          <cell r="E136">
            <v>384.74518249564602</v>
          </cell>
          <cell r="F136">
            <v>374.206938658723</v>
          </cell>
          <cell r="G136">
            <v>153.01161646025255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1.5213279940556914</v>
          </cell>
          <cell r="E137">
            <v>1.7957286617274766</v>
          </cell>
          <cell r="F137">
            <v>1.746543311622538</v>
          </cell>
          <cell r="G137">
            <v>0.71415408887682752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4.4468385126261483</v>
          </cell>
          <cell r="E138">
            <v>5.2489110845245026</v>
          </cell>
          <cell r="F138">
            <v>5.10514241007807</v>
          </cell>
          <cell r="G138">
            <v>2.087470893045742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2.86445617274419E-5</v>
          </cell>
          <cell r="F139">
            <v>1.0773997220083499E-4</v>
          </cell>
          <cell r="G139">
            <v>7.4211894794986395E-5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0.10616882536508751</v>
          </cell>
          <cell r="E140">
            <v>0.1251844078892882</v>
          </cell>
          <cell r="F140">
            <v>0.12529215381866698</v>
          </cell>
          <cell r="G140">
            <v>7.1049604217015394E-2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0.24286767296660169</v>
          </cell>
          <cell r="E141">
            <v>0.26942316338770583</v>
          </cell>
          <cell r="F141">
            <v>0.27467748557933447</v>
          </cell>
          <cell r="G141">
            <v>2.4413923253210183E-2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2.0146352454189537E-3</v>
          </cell>
          <cell r="E142">
            <v>2.2581753626106462E-3</v>
          </cell>
          <cell r="F142">
            <v>2.3020080262773209E-3</v>
          </cell>
          <cell r="G142">
            <v>2.1069310511838098E-4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4.3061644143014589E-3</v>
          </cell>
          <cell r="E143">
            <v>4.7770064430444452E-3</v>
          </cell>
          <cell r="F143">
            <v>4.870168184030757E-3</v>
          </cell>
          <cell r="G143">
            <v>4.3287097966684821E-4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3.4194771480589998E-6</v>
          </cell>
          <cell r="F144">
            <v>3.18327364330552E-6</v>
          </cell>
          <cell r="G144">
            <v>3.80527797683639E-7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1.6165528037968848E-4</v>
          </cell>
          <cell r="F145">
            <v>1.6315938614903564E-4</v>
          </cell>
          <cell r="G145">
            <v>1.5171200919116069E-5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2.7221085950655843</v>
          </cell>
          <cell r="E146">
            <v>2.6619095053670643</v>
          </cell>
          <cell r="F146">
            <v>2.4786298186525593</v>
          </cell>
          <cell r="G146">
            <v>2.7058233562551682E-3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3.2949472152806879E-2</v>
          </cell>
          <cell r="E147">
            <v>3.2193306285931138E-2</v>
          </cell>
          <cell r="F147">
            <v>2.9955637124634726E-2</v>
          </cell>
          <cell r="G147">
            <v>2.4550123412967593E-5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4.8264336791943065E-2</v>
          </cell>
          <cell r="E148">
            <v>4.7196977045515252E-2</v>
          </cell>
          <cell r="F148">
            <v>4.3947337210151746E-2</v>
          </cell>
          <cell r="G148">
            <v>4.7975591422964016E-5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3.5156593799117998E-6</v>
          </cell>
          <cell r="F149">
            <v>3.4399205066200302E-6</v>
          </cell>
          <cell r="G149">
            <v>3.91018902159688E-7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2.5370372967478089E-3</v>
          </cell>
          <cell r="F150">
            <v>2.3634033005797916E-3</v>
          </cell>
          <cell r="G150">
            <v>2.2204352908333693E-6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3.3444781786363599E-2</v>
          </cell>
          <cell r="F151">
            <v>8.2000338204170603E-2</v>
          </cell>
          <cell r="G151">
            <v>0.1162361548423107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2.3491844773154412E-4</v>
          </cell>
          <cell r="F152">
            <v>6.0227352180637227E-4</v>
          </cell>
          <cell r="G152">
            <v>8.9677911046046554E-4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4.5318132501847625E-4</v>
          </cell>
          <cell r="F153">
            <v>1.1111156938234507E-3</v>
          </cell>
          <cell r="G153">
            <v>1.5750156482697926E-3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2.6917948218052799E-5</v>
          </cell>
          <cell r="F154">
            <v>6.3082230315570194E-5</v>
          </cell>
          <cell r="G154">
            <v>5.9504971004782302E-5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2.6559585511023601E-5</v>
          </cell>
          <cell r="F155">
            <v>8.7281756894135902E-5</v>
          </cell>
          <cell r="G155">
            <v>1.3124158314489599E-4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2.8832315767707572E-2</v>
          </cell>
          <cell r="G156">
            <v>3.0543631535415186E-2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0.35149986092475399</v>
          </cell>
          <cell r="G157">
            <v>0.45078090930791764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2.85199869226536E-2</v>
          </cell>
          <cell r="F158">
            <v>0.10065219044314599</v>
          </cell>
          <cell r="G158">
            <v>0.14108668926887449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1.6127979652154735E-4</v>
          </cell>
          <cell r="F159">
            <v>5.9871657539488127E-4</v>
          </cell>
          <cell r="G159">
            <v>8.8031018306538482E-4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3.8644968729882877E-4</v>
          </cell>
          <cell r="F160">
            <v>1.3638508190128161E-3</v>
          </cell>
          <cell r="G160">
            <v>1.9117437570308204E-3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1.33762308555131E-5</v>
          </cell>
          <cell r="F161">
            <v>4.0667959993010801E-5</v>
          </cell>
          <cell r="G161">
            <v>3.2242369587953999E-5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1.3198151075419899E-5</v>
          </cell>
          <cell r="F162">
            <v>5.2569247601703698E-5</v>
          </cell>
          <cell r="G162">
            <v>7.5836781825061204E-5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2.81658254289733E-2</v>
          </cell>
          <cell r="F163">
            <v>6.3020987321900299E-2</v>
          </cell>
          <cell r="G163">
            <v>8.8441111900899205E-2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2.1596442426702336E-4</v>
          </cell>
          <cell r="F164">
            <v>5.0052247883152563E-4</v>
          </cell>
          <cell r="G164">
            <v>7.3189351474991853E-4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3.8425409862173708E-4</v>
          </cell>
          <cell r="F165">
            <v>8.5976790343656709E-4</v>
          </cell>
          <cell r="G165">
            <v>1.2065636002851175E-3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2.4729382721200699E-5</v>
          </cell>
          <cell r="F166">
            <v>4.9552454321687702E-5</v>
          </cell>
          <cell r="G166">
            <v>4.7104821010011002E-5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2.4400156716924899E-5</v>
          </cell>
          <cell r="F167">
            <v>7.1896278914781601E-5</v>
          </cell>
          <cell r="G167">
            <v>1.0611378174354399E-4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3.5675924335132503E-2</v>
          </cell>
          <cell r="F168">
            <v>0.11787416335475739</v>
          </cell>
          <cell r="G168">
            <v>0.14990114633146401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1.8754993430727024E-4</v>
          </cell>
          <cell r="F169">
            <v>6.5101532271951931E-4</v>
          </cell>
          <cell r="G169">
            <v>8.6374068898749422E-4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4.8341360887713412E-4</v>
          </cell>
          <cell r="F170">
            <v>1.5972108855658194E-3</v>
          </cell>
          <cell r="G170">
            <v>2.0311808445997799E-3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1.4003471678852201E-5</v>
          </cell>
          <cell r="F171">
            <v>3.5626534280772497E-5</v>
          </cell>
          <cell r="G171">
            <v>2.39281063372198E-5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1.3817041347016001E-5</v>
          </cell>
          <cell r="F172">
            <v>4.8178404958707401E-5</v>
          </cell>
          <cell r="G172">
            <v>6.4048981907386502E-5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2.4484630714865101E-2</v>
          </cell>
          <cell r="F173">
            <v>7.8078034298979304E-2</v>
          </cell>
          <cell r="G173">
            <v>0.11097393740371861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1.5101687907948487E-4</v>
          </cell>
          <cell r="F174">
            <v>5.0153808571948982E-4</v>
          </cell>
          <cell r="G174">
            <v>7.4252799721738949E-4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3.3403316118506315E-4</v>
          </cell>
          <cell r="F175">
            <v>1.0651846425508774E-3</v>
          </cell>
          <cell r="G175">
            <v>1.5139691323836082E-3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1.24324133197901E-5</v>
          </cell>
          <cell r="F176">
            <v>3.2004102612565499E-5</v>
          </cell>
          <cell r="G176">
            <v>2.62046452347413E-5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1.2266898724989E-5</v>
          </cell>
          <cell r="F177">
            <v>4.3142784769195701E-5</v>
          </cell>
          <cell r="G177">
            <v>6.1891929278560197E-5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4.0955508254874602E-2</v>
          </cell>
          <cell r="F178">
            <v>0.14325313413559071</v>
          </cell>
          <cell r="G178">
            <v>0.1924961058208895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2.1827653643989266E-4</v>
          </cell>
          <cell r="F179">
            <v>8.0215277798886841E-4</v>
          </cell>
          <cell r="G179">
            <v>1.1261343623950799E-3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5.5495268638041458E-4</v>
          </cell>
          <cell r="F180">
            <v>1.941099378531037E-3</v>
          </cell>
          <cell r="G180">
            <v>2.6083483173562245E-3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1.8492560658113999E-5</v>
          </cell>
          <cell r="F181">
            <v>5.33716259041647E-5</v>
          </cell>
          <cell r="G181">
            <v>3.8882030911214497E-5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1.8246366407212701E-5</v>
          </cell>
          <cell r="F182">
            <v>6.9863049829046507E-5</v>
          </cell>
          <cell r="G182">
            <v>9.6972698013717497E-5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2.9590627763604601E-2</v>
          </cell>
          <cell r="F183">
            <v>8.7287167710074498E-2</v>
          </cell>
          <cell r="G183">
            <v>0.11251498262604331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1.6966430168888609E-4</v>
          </cell>
          <cell r="F184">
            <v>5.2055077824263976E-4</v>
          </cell>
          <cell r="G184">
            <v>6.9631859735695472E-4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4.0369205680224518E-4</v>
          </cell>
          <cell r="F185">
            <v>1.1908208418836904E-3</v>
          </cell>
          <cell r="G185">
            <v>1.5349929416922689E-3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1.2638923444340501E-5</v>
          </cell>
          <cell r="F186">
            <v>2.72564172322276E-5</v>
          </cell>
          <cell r="G186">
            <v>1.9440232115446201E-5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1.24706595490853E-5</v>
          </cell>
          <cell r="F187">
            <v>3.8650403863835398E-5</v>
          </cell>
          <cell r="G187">
            <v>5.1514202316852001E-5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0.50142599254374398</v>
          </cell>
          <cell r="F188">
            <v>0.53865732883205719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1.1117134129390418E-3</v>
          </cell>
          <cell r="F189">
            <v>1.1988023470035601E-3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6.8407365967768597E-3</v>
          </cell>
          <cell r="F190">
            <v>7.3486675147620374E-3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2.4369462773738001E-5</v>
          </cell>
          <cell r="F191">
            <v>2.2366317388501302E-6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2.4369462773738001E-5</v>
          </cell>
          <cell r="F192">
            <v>2.6584001150741816E-5</v>
          </cell>
          <cell r="G192">
            <v>1.0198654431498819E-8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2.31712460309976E-2</v>
          </cell>
          <cell r="F193">
            <v>5.8974155216027099E-2</v>
          </cell>
          <cell r="G193">
            <v>7.8316819248903394E-2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1.2626718140152198E-4</v>
          </cell>
          <cell r="F194">
            <v>3.332318271683937E-4</v>
          </cell>
          <cell r="G194">
            <v>4.6009308407457094E-4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3.1611522552520626E-4</v>
          </cell>
          <cell r="F195">
            <v>8.045587341886383E-4</v>
          </cell>
          <cell r="G195">
            <v>1.068442281704003E-3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1.08813902791438E-5</v>
          </cell>
          <cell r="F196">
            <v>1.9718352958059701E-5</v>
          </cell>
          <cell r="G196">
            <v>1.5899095186019099E-5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1.07365246881601E-5</v>
          </cell>
          <cell r="F197">
            <v>2.9577819710615599E-5</v>
          </cell>
          <cell r="G197">
            <v>4.0305338186123502E-5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2.35826144338829E-2</v>
          </cell>
          <cell r="F198">
            <v>4.29830976512676E-2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3.7479284281549972E-5</v>
          </cell>
          <cell r="F199">
            <v>6.983439755459006E-5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3.2172734561914008E-4</v>
          </cell>
          <cell r="F200">
            <v>5.8639969510596913E-4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8.8588983863240395E-7</v>
          </cell>
          <cell r="F201">
            <v>7.4008243605850704E-7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8.8588983863240395E-7</v>
          </cell>
          <cell r="F202">
            <v>1.6259722746909099E-6</v>
          </cell>
          <cell r="G202">
            <v>1.0369348149409965E-8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0.41619417017516924</v>
          </cell>
          <cell r="E203">
            <v>0.36070362215045843</v>
          </cell>
          <cell r="F203">
            <v>0.27746020213314171</v>
          </cell>
          <cell r="G203">
            <v>0.13873150229437511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0.4678904532325312</v>
          </cell>
          <cell r="E204">
            <v>0.3769323031298103</v>
          </cell>
          <cell r="F204">
            <v>0.26222606541169596</v>
          </cell>
          <cell r="G204">
            <v>0.1130952081888144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4.2040000000000001E-2</v>
          </cell>
          <cell r="E205">
            <v>3.6434666666666699E-2</v>
          </cell>
          <cell r="F205">
            <v>2.8026333697741698E-2</v>
          </cell>
          <cell r="G205">
            <v>1.4013317640559948E-2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8650.9657512431804</v>
          </cell>
          <cell r="E206">
            <v>8258.9228966145602</v>
          </cell>
          <cell r="F206">
            <v>7024.5689178769699</v>
          </cell>
          <cell r="G206">
            <v>4865.1343585171799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116.28690658320501</v>
          </cell>
          <cell r="E207">
            <v>111.01703820969308</v>
          </cell>
          <cell r="F207">
            <v>94.424762856454393</v>
          </cell>
          <cell r="G207">
            <v>65.397487509683842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118.02136086279887</v>
          </cell>
          <cell r="E208">
            <v>112.67289081329531</v>
          </cell>
          <cell r="F208">
            <v>95.833136669535776</v>
          </cell>
          <cell r="G208">
            <v>66.372910757396625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1.5285310509114801E-2</v>
          </cell>
          <cell r="F209">
            <v>2.6756593091761802E-2</v>
          </cell>
          <cell r="G209">
            <v>1.259315762591904E-4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1.6314582898135565E-5</v>
          </cell>
          <cell r="F210">
            <v>2.9163226526405274E-5</v>
          </cell>
          <cell r="G210">
            <v>1.365521967997969E-7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2.0853083914208461E-4</v>
          </cell>
          <cell r="F211">
            <v>3.6502855513999798E-4</v>
          </cell>
          <cell r="G211">
            <v>1.7180296897570299E-6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3.92649839242277E-7</v>
          </cell>
          <cell r="F212">
            <v>2.9900717783131297E-7</v>
          </cell>
          <cell r="G212">
            <v>1.09137432921776E-8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3.92649839242277E-7</v>
          </cell>
          <cell r="F213">
            <v>6.9165701707359003E-7</v>
          </cell>
          <cell r="G213">
            <v>3.6575498801192002E-8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7.8466154491371488E-3</v>
          </cell>
          <cell r="E214">
            <v>1.3443448690525986E-2</v>
          </cell>
          <cell r="F214">
            <v>1.023238374131254E-2</v>
          </cell>
          <cell r="G214">
            <v>0.51712003003166018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7.8466154491371471E-3</v>
          </cell>
          <cell r="E215">
            <v>1.3443448690525984E-2</v>
          </cell>
          <cell r="F215">
            <v>1.0232383741312539E-2</v>
          </cell>
          <cell r="G215">
            <v>0.51712003003166007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7.8482305029160173E-3</v>
          </cell>
          <cell r="E216">
            <v>1.3448637990436663E-2</v>
          </cell>
          <cell r="F216">
            <v>1.0245925808632188E-2</v>
          </cell>
          <cell r="G216">
            <v>0.51718252961816069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7.8482305029160173E-3</v>
          </cell>
          <cell r="E217">
            <v>1.3448637990436663E-2</v>
          </cell>
          <cell r="F217">
            <v>1.0245925808632188E-2</v>
          </cell>
          <cell r="G217">
            <v>0.51718252961816069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7.6095683143504698E-3</v>
          </cell>
          <cell r="E218">
            <v>3.0250430225393199E-2</v>
          </cell>
          <cell r="F218">
            <v>2.2530064784673499E-2</v>
          </cell>
          <cell r="G218">
            <v>11.2534474124417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7.6095683143504698E-3</v>
          </cell>
          <cell r="E219">
            <v>3.7236049654241599E-2</v>
          </cell>
          <cell r="F219">
            <v>5.7227051507150573E-2</v>
          </cell>
          <cell r="G219">
            <v>10.717223585970855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3.2963342358332199E-3</v>
          </cell>
          <cell r="F220">
            <v>6.1439202134954398E-3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2.3722561678412795E-6</v>
          </cell>
          <cell r="F221">
            <v>4.5188816693665454E-6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4.497045342200842E-5</v>
          </cell>
          <cell r="F222">
            <v>8.381882965205233E-5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7.5576167519484497E-8</v>
          </cell>
          <cell r="F223">
            <v>7.0007677890464595E-8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7.5576167519484497E-8</v>
          </cell>
          <cell r="F224">
            <v>1.45583845409949E-7</v>
          </cell>
          <cell r="G224">
            <v>8.9894855917718934E-9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1410.1532524644999</v>
          </cell>
          <cell r="E225">
            <v>1140.64894993794</v>
          </cell>
          <cell r="F225">
            <v>841.52560137676505</v>
          </cell>
          <cell r="G225">
            <v>362.72473073730498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1.5766333265990586</v>
          </cell>
          <cell r="E226">
            <v>1.3070967181107647</v>
          </cell>
          <cell r="F226">
            <v>0.99949859811602704</v>
          </cell>
          <cell r="G226">
            <v>0.43081619772567536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19.238107127755782</v>
          </cell>
          <cell r="E227">
            <v>15.561377216070127</v>
          </cell>
          <cell r="F227">
            <v>11.480567549478364</v>
          </cell>
          <cell r="G227">
            <v>4.9484956444380002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2.9662000000000001E-2</v>
          </cell>
          <cell r="E228">
            <v>2.5707066666666702E-2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0.63192877808771497</v>
          </cell>
          <cell r="F229">
            <v>1.5595135378823201E-4</v>
          </cell>
          <cell r="G229">
            <v>4.48450488726429E-5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51.451580495070701</v>
          </cell>
          <cell r="F230">
            <v>1.2697544266035501E-2</v>
          </cell>
          <cell r="G230">
            <v>3.6512795775157699E-3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0.69717588746708692</v>
          </cell>
          <cell r="F231">
            <v>1.7205344533923513E-4</v>
          </cell>
          <cell r="G231">
            <v>4.9475333028668996E-5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1.0464242466480699E-6</v>
          </cell>
          <cell r="E232">
            <v>2.7418791928218001E-6</v>
          </cell>
          <cell r="F232">
            <v>5.0055551772980899E-6</v>
          </cell>
          <cell r="G232">
            <v>1.04258934146246E-5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1.5951123946414365</v>
          </cell>
          <cell r="E233">
            <v>1.5951151365206293</v>
          </cell>
          <cell r="F233">
            <v>1.6302841236681687E-4</v>
          </cell>
          <cell r="G233">
            <v>4.4993201641307934E-5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6.625705213978228E-2</v>
          </cell>
          <cell r="E234">
            <v>0.10386552793135398</v>
          </cell>
          <cell r="F234">
            <v>0.13065926796863694</v>
          </cell>
          <cell r="G234">
            <v>5.2051390623036609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6.6257052139782266E-2</v>
          </cell>
          <cell r="E235">
            <v>0.10386552793135397</v>
          </cell>
          <cell r="F235">
            <v>0.13065926796863694</v>
          </cell>
          <cell r="G235">
            <v>5.2051390623036609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6.6264763321999556E-2</v>
          </cell>
          <cell r="E236">
            <v>0.10387796020989838</v>
          </cell>
          <cell r="F236">
            <v>0.13068212101525759</v>
          </cell>
          <cell r="G236">
            <v>5.2056669317583317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6.6264763321999556E-2</v>
          </cell>
          <cell r="E237">
            <v>0.10387796020989838</v>
          </cell>
          <cell r="F237">
            <v>0.13068212101525759</v>
          </cell>
          <cell r="G237">
            <v>5.2056669317583317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1.18992768941382E-2</v>
          </cell>
          <cell r="E238">
            <v>3.8164094731040703E-2</v>
          </cell>
          <cell r="F238">
            <v>0.48659954745338602</v>
          </cell>
          <cell r="G238">
            <v>81.161124253524505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1.18992768941382E-2</v>
          </cell>
          <cell r="E239">
            <v>4.9210670920384225E-2</v>
          </cell>
          <cell r="F239">
            <v>0.52635825893074617</v>
          </cell>
          <cell r="G239">
            <v>77.410639246393103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3.2631830128972288</v>
          </cell>
          <cell r="E240">
            <v>12.7315919148262</v>
          </cell>
          <cell r="F240">
            <v>25.354608289523224</v>
          </cell>
          <cell r="G240">
            <v>45.162962426627601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8.4360074026174972E-2</v>
          </cell>
          <cell r="E241">
            <v>0.33137751024757878</v>
          </cell>
          <cell r="F241">
            <v>0.66535619803797985</v>
          </cell>
          <cell r="G241">
            <v>1.2070206085359105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4.4216571990477328E-2</v>
          </cell>
          <cell r="E242">
            <v>0.17251479559385086</v>
          </cell>
          <cell r="F242">
            <v>0.34355837790681909</v>
          </cell>
          <cell r="G242">
            <v>0.6119642605234098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8.1088466938984194E-2</v>
          </cell>
          <cell r="F243">
            <v>0.11499257280138001</v>
          </cell>
          <cell r="G243">
            <v>0.23593405991067801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2.9121602921500036E-2</v>
          </cell>
          <cell r="E244">
            <v>0.11406016162662255</v>
          </cell>
          <cell r="F244">
            <v>0.22905236131372386</v>
          </cell>
          <cell r="G244">
            <v>0.43911831304155802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17.1765312187704</v>
          </cell>
          <cell r="F245">
            <v>16.854708020846701</v>
          </cell>
          <cell r="G245">
            <v>15.981318462137301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1273.9838489680201</v>
          </cell>
          <cell r="F246">
            <v>1250.1142124764599</v>
          </cell>
          <cell r="G246">
            <v>1185.3348820353399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17.380407216480538</v>
          </cell>
          <cell r="F247">
            <v>17.054764153839791</v>
          </cell>
          <cell r="G247">
            <v>16.171007940454832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1.4760455982694001E-6</v>
          </cell>
          <cell r="E248">
            <v>1.0067781872647E-5</v>
          </cell>
          <cell r="F248">
            <v>6.10126587736123E-6</v>
          </cell>
          <cell r="G248">
            <v>7.2029079100069798E-6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17.176523395053298</v>
          </cell>
          <cell r="E249">
            <v>17.176533462835174</v>
          </cell>
          <cell r="F249">
            <v>16.854711368364171</v>
          </cell>
          <cell r="G249">
            <v>15.981316133283618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4.611653348180865E-2</v>
          </cell>
          <cell r="E250">
            <v>0.12050673543832328</v>
          </cell>
          <cell r="F250">
            <v>0.52533969353016707</v>
          </cell>
          <cell r="G250">
            <v>0.45993111753139804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4.611653348180865E-2</v>
          </cell>
          <cell r="E251">
            <v>0.12050673543832327</v>
          </cell>
          <cell r="F251">
            <v>0.52533969353016707</v>
          </cell>
          <cell r="G251">
            <v>0.45993111753139798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4.6122248961858486E-2</v>
          </cell>
          <cell r="E252">
            <v>0.12052082464908176</v>
          </cell>
          <cell r="F252">
            <v>0.52540033059692404</v>
          </cell>
          <cell r="G252">
            <v>0.45998426429228662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4.6122248961858486E-2</v>
          </cell>
          <cell r="E253">
            <v>0.12052082464908176</v>
          </cell>
          <cell r="F253">
            <v>0.52540033059692404</v>
          </cell>
          <cell r="G253">
            <v>0.45998426429228662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1.18297471560769E-2</v>
          </cell>
          <cell r="E254">
            <v>0.81146156946905901</v>
          </cell>
          <cell r="F254">
            <v>6.1593193808946296</v>
          </cell>
          <cell r="G254">
            <v>8.0702714376541404E-2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1.18297471560769E-2</v>
          </cell>
          <cell r="E255">
            <v>0.81214389019569977</v>
          </cell>
          <cell r="F255">
            <v>6.8424834191446173</v>
          </cell>
          <cell r="G255">
            <v>6.0298564556197851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8.2778354950263999</v>
          </cell>
          <cell r="E256">
            <v>12.032553475094529</v>
          </cell>
          <cell r="F256">
            <v>12.03662681947157</v>
          </cell>
          <cell r="G256">
            <v>7.5378778839109692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0.12369228425125514</v>
          </cell>
          <cell r="E257">
            <v>0.18004847636721194</v>
          </cell>
          <cell r="F257">
            <v>0.18011586456966089</v>
          </cell>
          <cell r="G257">
            <v>0.11283665804984432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0.11216579261553386</v>
          </cell>
          <cell r="E258">
            <v>0.1630427300148308</v>
          </cell>
          <cell r="F258">
            <v>0.16309792438308349</v>
          </cell>
          <cell r="G258">
            <v>0.10213926671966063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1.00622496126612E-4</v>
          </cell>
          <cell r="F259">
            <v>1.19166411483457E-4</v>
          </cell>
          <cell r="G259">
            <v>1.37797784406675E-4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4.2720254557384749E-2</v>
          </cell>
          <cell r="E260">
            <v>6.1985505479399405E-2</v>
          </cell>
          <cell r="F260">
            <v>6.2104411807533212E-2</v>
          </cell>
          <cell r="G260">
            <v>5.3946907615550065E-2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0.1501116503927622</v>
          </cell>
          <cell r="E261">
            <v>1.0634869290017055</v>
          </cell>
          <cell r="F261">
            <v>3.2113854639477006</v>
          </cell>
          <cell r="G261">
            <v>10.170808402508294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0.1501116503927622</v>
          </cell>
          <cell r="E262">
            <v>1.0634869290017053</v>
          </cell>
          <cell r="F262">
            <v>3.2113854639477002</v>
          </cell>
          <cell r="G262">
            <v>10.170808402508294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0.15012778741790006</v>
          </cell>
          <cell r="E263">
            <v>1.0635953256625625</v>
          </cell>
          <cell r="F263">
            <v>3.2117147324605622</v>
          </cell>
          <cell r="G263">
            <v>10.171832726707313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0.15012778741790006</v>
          </cell>
          <cell r="E264">
            <v>1.0635953256625625</v>
          </cell>
          <cell r="F264">
            <v>3.2117147324605622</v>
          </cell>
          <cell r="G264">
            <v>10.171832726707313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2.6433142922007099E-2</v>
          </cell>
          <cell r="E265">
            <v>13.0102423876177</v>
          </cell>
          <cell r="F265">
            <v>35.859229366274299</v>
          </cell>
          <cell r="G265">
            <v>122.420294975346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2.6433142922007099E-2</v>
          </cell>
          <cell r="E266">
            <v>12.86269933758302</v>
          </cell>
          <cell r="F266">
            <v>47.500702360284706</v>
          </cell>
          <cell r="G266">
            <v>156.87318321463687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12.064375565735059</v>
          </cell>
          <cell r="E267">
            <v>14.614954229354085</v>
          </cell>
          <cell r="F267">
            <v>14.810047894441832</v>
          </cell>
          <cell r="G267">
            <v>14.558757452729163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0.11924229051171331</v>
          </cell>
          <cell r="E268">
            <v>0.14459995959129754</v>
          </cell>
          <cell r="F268">
            <v>0.14653307380757324</v>
          </cell>
          <cell r="G268">
            <v>0.14405292595327537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0.16347392365494642</v>
          </cell>
          <cell r="E269">
            <v>0.19803461015384916</v>
          </cell>
          <cell r="F269">
            <v>0.20067815575124423</v>
          </cell>
          <cell r="G269">
            <v>0.1972731362158425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4.8936671038459798E-5</v>
          </cell>
          <cell r="F270">
            <v>5.6625503811780402E-5</v>
          </cell>
          <cell r="G270">
            <v>5.9651246557596397E-5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5.3233487092561371E-2</v>
          </cell>
          <cell r="E271">
            <v>6.9094337521301355E-2</v>
          </cell>
          <cell r="F271">
            <v>6.9151036738656135E-2</v>
          </cell>
          <cell r="G271">
            <v>6.9210677741789198E-2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4722.2885077650899</v>
          </cell>
          <cell r="E272">
            <v>3813.7542567881801</v>
          </cell>
          <cell r="F272">
            <v>3125.1750455792298</v>
          </cell>
          <cell r="G272">
            <v>962.97353865391801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18.302989124715864</v>
          </cell>
          <cell r="E273">
            <v>15.117998341656659</v>
          </cell>
          <cell r="F273">
            <v>12.801880100713873</v>
          </cell>
          <cell r="G273">
            <v>4.1570331666954639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63.987649156708535</v>
          </cell>
          <cell r="E274">
            <v>51.676886948349328</v>
          </cell>
          <cell r="F274">
            <v>42.346545333051822</v>
          </cell>
          <cell r="G274">
            <v>13.048421932979917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2.4943270000000002</v>
          </cell>
          <cell r="E275">
            <v>2.16175006666667</v>
          </cell>
          <cell r="F275">
            <v>1.6628846470820904</v>
          </cell>
          <cell r="G275">
            <v>0.83144104653576756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7.8483583085393596</v>
          </cell>
          <cell r="E276">
            <v>9.3249938547260918</v>
          </cell>
          <cell r="F276">
            <v>9.4494234243325419</v>
          </cell>
          <cell r="G276">
            <v>9.3130189991962755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7.1869019165901396E-2</v>
          </cell>
          <cell r="E277">
            <v>8.5468627659033153E-2</v>
          </cell>
          <cell r="F277">
            <v>8.661086928231676E-2</v>
          </cell>
          <cell r="G277">
            <v>8.5363505571006776E-2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0.10634631854389387</v>
          </cell>
          <cell r="E278">
            <v>0.12635493028084138</v>
          </cell>
          <cell r="F278">
            <v>0.12804096780938368</v>
          </cell>
          <cell r="G278">
            <v>0.12619266936580295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3.0515150691655401E-5</v>
          </cell>
          <cell r="F279">
            <v>3.2150964860767599E-5</v>
          </cell>
          <cell r="G279">
            <v>2.7541717660380199E-5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3.2743341536999183E-2</v>
          </cell>
          <cell r="E280">
            <v>4.0901352693475827E-2</v>
          </cell>
          <cell r="F280">
            <v>4.0933651946793395E-2</v>
          </cell>
          <cell r="G280">
            <v>4.0961297344530793E-2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3821.2770534269798</v>
          </cell>
          <cell r="E281">
            <v>3569.7775225577002</v>
          </cell>
          <cell r="F281">
            <v>2515.21470791293</v>
          </cell>
          <cell r="G281">
            <v>1107.0864777065301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17.673719176775272</v>
          </cell>
          <cell r="E282">
            <v>17.235951049191065</v>
          </cell>
          <cell r="F282">
            <v>12.910906909904703</v>
          </cell>
          <cell r="G282">
            <v>6.2452569291673132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52.132019828471698</v>
          </cell>
          <cell r="E283">
            <v>48.700921180869045</v>
          </cell>
          <cell r="F283">
            <v>34.313979644105437</v>
          </cell>
          <cell r="G283">
            <v>15.103499013731644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1.059558</v>
          </cell>
          <cell r="E284">
            <v>0.91828359999999998</v>
          </cell>
          <cell r="F284">
            <v>0.70637164336405578</v>
          </cell>
          <cell r="G284">
            <v>0.35318542676378328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1.3203651799733942E-4</v>
          </cell>
          <cell r="F285">
            <v>1.8807840475521857E-4</v>
          </cell>
          <cell r="G285">
            <v>4.2449081869043665E-4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7.249135249656794E-5</v>
          </cell>
          <cell r="F286">
            <v>1.032597507333346E-4</v>
          </cell>
          <cell r="G286">
            <v>2.3305608202925512E-4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5.5365904736518817E-3</v>
          </cell>
          <cell r="E287">
            <v>1.2001881530770852E-2</v>
          </cell>
          <cell r="F287">
            <v>1.4156990998551272E-2</v>
          </cell>
          <cell r="G287">
            <v>2.1379746774237512E-2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3.6833572635530912E-3</v>
          </cell>
          <cell r="E288">
            <v>7.9845561493208685E-3</v>
          </cell>
          <cell r="F288">
            <v>9.4182973930840557E-3</v>
          </cell>
          <cell r="G288">
            <v>1.4223418898069801E-2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1.193445175595237E-4</v>
          </cell>
          <cell r="F289">
            <v>1.7400363107295195E-4</v>
          </cell>
          <cell r="G289">
            <v>4.1188040574850694E-4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6.5523126648300424E-5</v>
          </cell>
          <cell r="F290">
            <v>9.5532347770987768E-5</v>
          </cell>
          <cell r="G290">
            <v>2.2613264975789566E-4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3.5370833501607003E-2</v>
          </cell>
          <cell r="G291">
            <v>3.726366700321395E-2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0.65830556959273911</v>
          </cell>
          <cell r="G292">
            <v>0.7379148962536346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5.7024703759948385E-2</v>
          </cell>
          <cell r="F293">
            <v>0.22787218822844435</v>
          </cell>
          <cell r="G293">
            <v>1.5342614295453627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4.0698062843475644E-2</v>
          </cell>
          <cell r="F294">
            <v>0.16263050967947604</v>
          </cell>
          <cell r="G294">
            <v>1.0949897844417043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9.7602321326264375E-5</v>
          </cell>
          <cell r="F295">
            <v>3.323089025119473E-4</v>
          </cell>
          <cell r="G295">
            <v>3.8040505732041315E-3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6.4932420215579436E-5</v>
          </cell>
          <cell r="F296">
            <v>2.2107692733202804E-4</v>
          </cell>
          <cell r="G296">
            <v>2.530741144105746E-3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146.29759478753999</v>
          </cell>
          <cell r="E297">
            <v>110.470794938802</v>
          </cell>
          <cell r="F297">
            <v>76.739690166573894</v>
          </cell>
          <cell r="G297">
            <v>33.4388474830672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1.5287208685117475</v>
          </cell>
          <cell r="E298">
            <v>1.1784125219212056</v>
          </cell>
          <cell r="F298">
            <v>0.84366676077365232</v>
          </cell>
          <cell r="G298">
            <v>0.38582957825643732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1.982352232893493</v>
          </cell>
          <cell r="E299">
            <v>1.4968942403631762</v>
          </cell>
          <cell r="F299">
            <v>1.0398332000890775</v>
          </cell>
          <cell r="G299">
            <v>0.45310091440470485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0.55779800000000002</v>
          </cell>
          <cell r="E300">
            <v>0.48342493333333297</v>
          </cell>
          <cell r="F300">
            <v>0.37185442075024178</v>
          </cell>
          <cell r="G300">
            <v>0.18591896906617741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2.3847216386704246E-2</v>
          </cell>
          <cell r="F301">
            <v>2.8038623840070737E-2</v>
          </cell>
          <cell r="G301">
            <v>5.4212809977845854E-2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1.7804408543264139E-2</v>
          </cell>
          <cell r="F302">
            <v>2.0933726844440191E-2</v>
          </cell>
          <cell r="G302">
            <v>4.0475458496785646E-2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5.2355332672882747E-2</v>
          </cell>
          <cell r="F303">
            <v>0.18950009646640673</v>
          </cell>
          <cell r="G303">
            <v>1.1032903389998465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3.7365571038855731E-2</v>
          </cell>
          <cell r="F304">
            <v>0.13524466286226092</v>
          </cell>
          <cell r="G304">
            <v>0.78740925582418142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1.8894029431187605E-3</v>
          </cell>
          <cell r="F305">
            <v>2.6280155582043721E-3</v>
          </cell>
          <cell r="G305">
            <v>2.0381978907909933E-2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1.4106343212823577E-3</v>
          </cell>
          <cell r="F306">
            <v>1.9620848780662033E-3</v>
          </cell>
          <cell r="G306">
            <v>1.5217251083398794E-2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1.4349646743037099</v>
          </cell>
          <cell r="E307">
            <v>1.2808554912639667</v>
          </cell>
          <cell r="F307">
            <v>1.7765587339884128</v>
          </cell>
          <cell r="G307">
            <v>5.861365316065412E-3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8.1563220969203404E-3</v>
          </cell>
          <cell r="E308">
            <v>7.2803673382602916E-3</v>
          </cell>
          <cell r="F308">
            <v>1.0097938658690398E-2</v>
          </cell>
          <cell r="G308">
            <v>3.3315930560272795E-5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2.5442636069214691E-2</v>
          </cell>
          <cell r="E309">
            <v>2.2710203745814981E-2</v>
          </cell>
          <cell r="F309">
            <v>3.149926833312789E-2</v>
          </cell>
          <cell r="G309">
            <v>1.0392491695151445E-4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D310">
            <v>2.73466608945662E-7</v>
          </cell>
          <cell r="E310">
            <v>3.47519631106672E-6</v>
          </cell>
          <cell r="F310">
            <v>2.0731072216128499E-6</v>
          </cell>
          <cell r="G310">
            <v>1.1287040479934299E-6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5.8317955400733889E-4</v>
          </cell>
          <cell r="E311">
            <v>7.126114386204255E-4</v>
          </cell>
          <cell r="F311">
            <v>7.1471545865619906E-4</v>
          </cell>
          <cell r="G311">
            <v>2.7165733804119358E-6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2.4109587731588788E-2</v>
          </cell>
          <cell r="E312">
            <v>5.4070124078561335E-2</v>
          </cell>
          <cell r="F312">
            <v>8.0175725716865681E-2</v>
          </cell>
          <cell r="G312">
            <v>1.1563632478848058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3.5384633259779495E-2</v>
          </cell>
          <cell r="E313">
            <v>7.935645902081917E-2</v>
          </cell>
          <cell r="F313">
            <v>0.11767055838581952</v>
          </cell>
          <cell r="G313">
            <v>1.6971459610601514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1.18173092061176E-3</v>
          </cell>
          <cell r="F314">
            <v>1.83710115314209E-3</v>
          </cell>
          <cell r="G314">
            <v>7.6008023301239305E-2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1.69894493800656E-3</v>
          </cell>
          <cell r="E315">
            <v>3.7737309206117599E-3</v>
          </cell>
          <cell r="F315">
            <v>5.6108219391743513E-3</v>
          </cell>
          <cell r="G315">
            <v>8.0652275932780376E-2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1.4686171447460554E-4</v>
          </cell>
          <cell r="E316">
            <v>2.1692842042781981E-3</v>
          </cell>
          <cell r="F316">
            <v>2.5122965868863314E-3</v>
          </cell>
          <cell r="G316">
            <v>6.4720676196293778E-2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3.8781184313461367E-4</v>
          </cell>
          <cell r="E317">
            <v>5.5489145330856887E-3</v>
          </cell>
          <cell r="F317">
            <v>6.377636588285115E-3</v>
          </cell>
          <cell r="G317">
            <v>0.14469202970535699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4.0618067331280501E-5</v>
          </cell>
          <cell r="F318">
            <v>7.8697690911797398E-6</v>
          </cell>
          <cell r="G318">
            <v>1.4103183812389901E-3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4.7360855792818962E-5</v>
          </cell>
          <cell r="F319">
            <v>5.5210136913939619E-5</v>
          </cell>
          <cell r="G319">
            <v>1.4117754138540527E-3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4.697342394608739E-4</v>
          </cell>
          <cell r="E320">
            <v>1.0357051082175136E-3</v>
          </cell>
          <cell r="F320">
            <v>1.1325083714405523E-3</v>
          </cell>
          <cell r="G320">
            <v>5.7406389892896204E-2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1.7070028202768696E-3</v>
          </cell>
          <cell r="E321">
            <v>3.7243708025382952E-3</v>
          </cell>
          <cell r="F321">
            <v>4.0501084247199677E-3</v>
          </cell>
          <cell r="G321">
            <v>0.17701589784825256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1.5114388874193399E-6</v>
          </cell>
          <cell r="F322">
            <v>1.9563939995698998E-6</v>
          </cell>
          <cell r="G322">
            <v>1.2456269496635901E-3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1.0867992459459901E-5</v>
          </cell>
          <cell r="E323">
            <v>2.3292688887419341E-5</v>
          </cell>
          <cell r="F323">
            <v>2.5249082886989242E-5</v>
          </cell>
          <cell r="G323">
            <v>1.2475108330941588E-3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7.2027098227680364E-5</v>
          </cell>
          <cell r="E324">
            <v>1.2214759180188928E-4</v>
          </cell>
          <cell r="F324">
            <v>1.5292811535677988E-4</v>
          </cell>
          <cell r="G324">
            <v>1.2274919619103045E-2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3.9365435840547501E-4</v>
          </cell>
          <cell r="E325">
            <v>6.6019933576705314E-4</v>
          </cell>
          <cell r="F325">
            <v>8.1429161782637478E-4</v>
          </cell>
          <cell r="G325">
            <v>5.6871068964377519E-2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5.3384333410531896E-7</v>
          </cell>
          <cell r="F326">
            <v>7.3627809528588601E-7</v>
          </cell>
          <cell r="G326">
            <v>2.6613504744889803E-4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1.6896170828846673E-6</v>
          </cell>
          <cell r="E327">
            <v>2.8087012276532994E-6</v>
          </cell>
          <cell r="F327">
            <v>3.5432732035671804E-6</v>
          </cell>
          <cell r="G327">
            <v>2.6793450860086867E-4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1.0996659072283346E-5</v>
          </cell>
          <cell r="F328">
            <v>1.8179773438667912E-5</v>
          </cell>
          <cell r="G328">
            <v>6.5093570565073447E-6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8.697528957679066E-5</v>
          </cell>
          <cell r="F329">
            <v>1.4056216232158269E-4</v>
          </cell>
          <cell r="G329">
            <v>4.6289526058331685E-5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2.5083869375730898E-7</v>
          </cell>
          <cell r="F330">
            <v>2.09110502374614E-7</v>
          </cell>
          <cell r="G330">
            <v>1.5536911436050401E-7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2.5083869375730898E-7</v>
          </cell>
          <cell r="F331">
            <v>4.5994919613192197E-7</v>
          </cell>
          <cell r="G331">
            <v>2.2906696816438396E-7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1.4215186678584296E-2</v>
          </cell>
          <cell r="E332">
            <v>2.4351643244663775E-2</v>
          </cell>
          <cell r="F332">
            <v>1.8532444179867071E-2</v>
          </cell>
          <cell r="G332">
            <v>0.9349742851360956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7.8464462035426428E-3</v>
          </cell>
          <cell r="E333">
            <v>1.3441530034563446E-2</v>
          </cell>
          <cell r="F333">
            <v>1.0229470042525389E-2</v>
          </cell>
          <cell r="G333">
            <v>0.51608365024628267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9.4572569427464994E-5</v>
          </cell>
          <cell r="E334">
            <v>3.79849842393148E-4</v>
          </cell>
          <cell r="F334">
            <v>2.8737127052314297E-4</v>
          </cell>
          <cell r="G334">
            <v>0.14741538464414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1.5661606392525914E-3</v>
          </cell>
          <cell r="E335">
            <v>2.6041175439108868E-3</v>
          </cell>
          <cell r="F335">
            <v>2.7914183754358282E-3</v>
          </cell>
          <cell r="G335">
            <v>0.14207072454512137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16.094292218369301</v>
          </cell>
          <cell r="E336">
            <v>8.9377473220410799</v>
          </cell>
          <cell r="F336">
            <v>14.142139478873499</v>
          </cell>
          <cell r="G336">
            <v>0.65767195722536398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0.3076723560055783</v>
          </cell>
          <cell r="E337">
            <v>0.1767314458982015</v>
          </cell>
          <cell r="F337">
            <v>0.25462163975563346</v>
          </cell>
          <cell r="G337">
            <v>1.1937255146848957E-2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0.28535979110583926</v>
          </cell>
          <cell r="E338">
            <v>0.15847069719930984</v>
          </cell>
          <cell r="F338">
            <v>0.25074715388073548</v>
          </cell>
          <cell r="G338">
            <v>1.166085030541426E-2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2.3293975923680408E-2</v>
          </cell>
          <cell r="E339">
            <v>1.6775180182887473E-2</v>
          </cell>
          <cell r="F339">
            <v>2.5661568703831241E-3</v>
          </cell>
          <cell r="G339">
            <v>2.5381702735485529E-4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2.0492237508256206E-3</v>
          </cell>
          <cell r="F340">
            <v>2.1204450969135712E-3</v>
          </cell>
          <cell r="G340">
            <v>6.7076569421070957E-5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4.7595731130076602E-7</v>
          </cell>
          <cell r="E341">
            <v>9.6127155174551194E-8</v>
          </cell>
          <cell r="F341">
            <v>1.0024791805216E-7</v>
          </cell>
          <cell r="G341">
            <v>1.06122001583525E-7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0.95961816903895536</v>
          </cell>
          <cell r="E342">
            <v>0.95961826516611048</v>
          </cell>
          <cell r="F342">
            <v>0.95961836541402856</v>
          </cell>
          <cell r="G342">
            <v>0.95961847153603008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9.6986958106558191E-2</v>
          </cell>
          <cell r="E343">
            <v>0.15203410364508302</v>
          </cell>
          <cell r="F343">
            <v>0.19125213002981098</v>
          </cell>
          <cell r="G343">
            <v>7.6182566259203783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6.6257052139782294E-2</v>
          </cell>
          <cell r="E344">
            <v>0.10386274328935957</v>
          </cell>
          <cell r="F344">
            <v>0.13065470449446687</v>
          </cell>
          <cell r="G344">
            <v>5.2044443534693778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8.2829392555344096E-5</v>
          </cell>
          <cell r="E345">
            <v>2.6853193177028899E-4</v>
          </cell>
          <cell r="F345">
            <v>3.4803593609795901E-3</v>
          </cell>
          <cell r="G345">
            <v>0.59692237832734296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7.3697826082445971E-3</v>
          </cell>
          <cell r="E346">
            <v>1.1535341277909296E-2</v>
          </cell>
          <cell r="F346">
            <v>1.4514958674710426E-2</v>
          </cell>
          <cell r="G346">
            <v>0.57802220379757052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2.7895490678906818E-2</v>
          </cell>
          <cell r="E347">
            <v>2.4232445413925038E-2</v>
          </cell>
          <cell r="F347">
            <v>1.8598790665996266E-2</v>
          </cell>
          <cell r="G347">
            <v>9.2722260167249562E-3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4.0473833016841522E-2</v>
          </cell>
          <cell r="E348">
            <v>3.4834427840711203E-2</v>
          </cell>
          <cell r="F348">
            <v>2.6370722615430921E-2</v>
          </cell>
          <cell r="G348">
            <v>1.3146838668477384E-2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1.9499999999999999E-3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6.1678683379679293E-2</v>
          </cell>
          <cell r="E350">
            <v>0.16116968621538563</v>
          </cell>
          <cell r="F350">
            <v>0.70260885244495519</v>
          </cell>
          <cell r="G350">
            <v>0.61397337969228338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4.6116533481808733E-2</v>
          </cell>
          <cell r="E351">
            <v>0.12050495930419249</v>
          </cell>
          <cell r="F351">
            <v>0.52533359814013303</v>
          </cell>
          <cell r="G351">
            <v>0.45906174337772671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7.1477531460212095E-5</v>
          </cell>
          <cell r="E352">
            <v>4.9552505418135398E-3</v>
          </cell>
          <cell r="F352">
            <v>3.8223333814806401E-2</v>
          </cell>
          <cell r="G352">
            <v>5.1475929031334904E-4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4.2925302861631098E-3</v>
          </cell>
          <cell r="E353">
            <v>1.1086898707749569E-2</v>
          </cell>
          <cell r="F353">
            <v>4.8327235100200205E-2</v>
          </cell>
          <cell r="G353">
            <v>4.2231026982515012E-2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0.19439052276699187</v>
          </cell>
          <cell r="E354">
            <v>1.3771833756081957</v>
          </cell>
          <cell r="F354">
            <v>4.1586493793813322</v>
          </cell>
          <cell r="G354">
            <v>13.170074940097637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0.15011165039276206</v>
          </cell>
          <cell r="E355">
            <v>1.0634843019267042</v>
          </cell>
          <cell r="F355">
            <v>3.2113794070714237</v>
          </cell>
          <cell r="G355">
            <v>10.170154680967368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1.63843356422363E-4</v>
          </cell>
          <cell r="E356">
            <v>8.1437676627028999E-2</v>
          </cell>
          <cell r="F356">
            <v>0.227829658755617</v>
          </cell>
          <cell r="G356">
            <v>0.79774446788303899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1.536654608486376E-2</v>
          </cell>
          <cell r="E357">
            <v>0.10844628173416157</v>
          </cell>
          <cell r="F357">
            <v>0.32748831556801328</v>
          </cell>
          <cell r="G357">
            <v>1.0370396267379387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2.68037478841925E-2</v>
          </cell>
          <cell r="F358">
            <v>4.76368543808212E-2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5.7142130595011831E-5</v>
          </cell>
          <cell r="F359">
            <v>1.0327956353526874E-4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4.7524375681192398E-4</v>
          </cell>
          <cell r="F360">
            <v>8.4462507767413318E-4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1.6172626663415199E-6</v>
          </cell>
          <cell r="F361">
            <v>7.9089199197861505E-7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1.6172626663415199E-6</v>
          </cell>
          <cell r="F362">
            <v>2.3980867826280958E-6</v>
          </cell>
          <cell r="G362">
            <v>2.6668291575399177E-9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2.9882894679728509E-5</v>
          </cell>
          <cell r="F363">
            <v>4.6264786518337414E-5</v>
          </cell>
          <cell r="G363">
            <v>4.1363251156928647E-6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6.4249998262830025E-5</v>
          </cell>
          <cell r="F364">
            <v>9.7651575056517857E-5</v>
          </cell>
          <cell r="G364">
            <v>8.327910432525534E-6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2.3253033984467398E-6</v>
          </cell>
          <cell r="F365">
            <v>1.37499767973461E-6</v>
          </cell>
          <cell r="G365">
            <v>1.15042420157405E-7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2.3253033984467398E-6</v>
          </cell>
          <cell r="F366">
            <v>3.70030107818135E-6</v>
          </cell>
          <cell r="G366">
            <v>3.2451184932180997E-7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1.21944786520169E-2</v>
          </cell>
          <cell r="F367">
            <v>3.1986909965409399E-2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1.8377787696688719E-5</v>
          </cell>
          <cell r="F368">
            <v>4.9593693240338009E-5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2.1621416049675272E-4</v>
          </cell>
          <cell r="F369">
            <v>5.6714379371293271E-4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4.98553348547262E-7</v>
          </cell>
          <cell r="F370">
            <v>6.4387991236296205E-7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4.98553348547262E-7</v>
          </cell>
          <cell r="F371">
            <v>1.1424332609102199E-6</v>
          </cell>
          <cell r="G371">
            <v>3.9055053262008978E-10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1.924387601433248E-2</v>
          </cell>
          <cell r="E372">
            <v>0.77775661694841547</v>
          </cell>
          <cell r="F372">
            <v>15.470186751949594</v>
          </cell>
          <cell r="G372">
            <v>3.1253317905913201E-3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3.2533220939964588E-5</v>
          </cell>
          <cell r="E373">
            <v>1.3623398345576981E-3</v>
          </cell>
          <cell r="F373">
            <v>2.8503706357835785E-2</v>
          </cell>
          <cell r="G373">
            <v>5.2836086440317529E-6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2.6253582557070251E-4</v>
          </cell>
          <cell r="E374">
            <v>1.0610595047045236E-2</v>
          </cell>
          <cell r="F374">
            <v>0.21105302526534261</v>
          </cell>
          <cell r="G374">
            <v>4.2637541481464103E-5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2.5536643637088801E-5</v>
          </cell>
          <cell r="F375">
            <v>5.1188401304548602E-4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2.6368570500661234E-5</v>
          </cell>
          <cell r="F376">
            <v>5.3825258354614741E-4</v>
          </cell>
          <cell r="G376">
            <v>1.2254365921830768E-7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9.9322283938746096E-3</v>
          </cell>
          <cell r="F377">
            <v>2.7603133495603401E-2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9.9361261703312351E-6</v>
          </cell>
          <cell r="F378">
            <v>2.8452719906458212E-5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1.7610334031692551E-4</v>
          </cell>
          <cell r="F379">
            <v>4.8941726056034242E-4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2.7166156158866999E-7</v>
          </cell>
          <cell r="F380">
            <v>3.9368813415160099E-7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2.7166156158866999E-7</v>
          </cell>
          <cell r="F381">
            <v>6.6534969574027203E-7</v>
          </cell>
          <cell r="G381">
            <v>4.4617151963360456E-9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8.03777446500788</v>
          </cell>
          <cell r="E382">
            <v>9.6633021654239553</v>
          </cell>
          <cell r="F382">
            <v>16.914464152983179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9.5911426505312387E-3</v>
          </cell>
          <cell r="E383">
            <v>1.1567095084173567E-2</v>
          </cell>
          <cell r="F383">
            <v>2.0971092934960366E-2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0.10965585900420016</v>
          </cell>
          <cell r="E384">
            <v>0.13183222599486971</v>
          </cell>
          <cell r="F384">
            <v>0.23075667330127136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3.48761548808954E-6</v>
          </cell>
          <cell r="F385">
            <v>1.7475343070406401E-4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1.8450046946968119E-4</v>
          </cell>
          <cell r="E386">
            <v>2.211362884192777E-4</v>
          </cell>
          <cell r="F386">
            <v>3.9601614641965489E-4</v>
          </cell>
          <cell r="G386">
            <v>-3.6593743329592018E-9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E387">
            <v>2.0051586327207798E-3</v>
          </cell>
          <cell r="F387">
            <v>5.9244334587881895E-3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E388">
            <v>1.3399421993281422E-6</v>
          </cell>
          <cell r="F388">
            <v>4.0805519916238342E-6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E389">
            <v>3.5552458026964156E-5</v>
          </cell>
          <cell r="F389">
            <v>1.0504314643241477E-4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5.5237338853874203E-8</v>
          </cell>
          <cell r="F390">
            <v>7.6330570101502405E-8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5.5237338853874203E-8</v>
          </cell>
          <cell r="F391">
            <v>1.31567908955377E-7</v>
          </cell>
          <cell r="G391">
            <v>1.5675510762010596E-10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44.474387759409922</v>
          </cell>
          <cell r="E392">
            <v>65.693653638948831</v>
          </cell>
          <cell r="F392">
            <v>114.6424355136283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3.5160569961098641E-2</v>
          </cell>
          <cell r="E393">
            <v>5.2127088587264517E-2</v>
          </cell>
          <cell r="F393">
            <v>9.4234778467688102E-2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0.60674471704515442</v>
          </cell>
          <cell r="E394">
            <v>0.89622992686151259</v>
          </cell>
          <cell r="F394">
            <v>1.564016855574736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3.1716348809021203E-5</v>
          </cell>
          <cell r="F395">
            <v>7.9305306377144803E-4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8.0668606785224025E-4</v>
          </cell>
          <cell r="E396">
            <v>9.8420079013045517E-4</v>
          </cell>
          <cell r="F396">
            <v>1.7773256713709061E-3</v>
          </cell>
          <cell r="G396">
            <v>-1.5185627814896449E-8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0.31818812925731388</v>
          </cell>
          <cell r="E397">
            <v>2.7750716860163997E-2</v>
          </cell>
          <cell r="F397">
            <v>3.479402032857104E-2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1.6776059502330982E-4</v>
          </cell>
          <cell r="E398">
            <v>1.4730086980695381E-5</v>
          </cell>
          <cell r="F398">
            <v>1.8628699308444833E-5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4.3409021726782317E-3</v>
          </cell>
          <cell r="E399">
            <v>3.7859095307181406E-4</v>
          </cell>
          <cell r="F399">
            <v>4.7467967706099677E-4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4.9962590089700899E-8</v>
          </cell>
          <cell r="F400">
            <v>5.3825441312119603E-8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3.7810593502240388E-6</v>
          </cell>
          <cell r="E401">
            <v>3.946714882961004E-7</v>
          </cell>
          <cell r="F401">
            <v>4.3766806031276081E-7</v>
          </cell>
          <cell r="G401">
            <v>-6.4354967268142661E-9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5.0110895796879804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5.0110895796879804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7.73417204839018E-3</v>
          </cell>
          <cell r="E404">
            <v>7.7546422857682797E-3</v>
          </cell>
          <cell r="F404">
            <v>7.6899470692437999E-3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1.3644847923037916E-3</v>
          </cell>
          <cell r="E405">
            <v>1.0967590782159809E-3</v>
          </cell>
          <cell r="F405">
            <v>6.8399892464928152E-4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1.371307100778401E-4</v>
          </cell>
          <cell r="E406">
            <v>1.3749365754908279E-4</v>
          </cell>
          <cell r="F406">
            <v>1.3634657924191149E-4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2.9722792607802899E-5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1.2709063122313</v>
          </cell>
          <cell r="E408">
            <v>1.2693967601934599</v>
          </cell>
          <cell r="F408">
            <v>1.26437424792048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0.24219487713633439</v>
          </cell>
          <cell r="E409">
            <v>0.19377950337865457</v>
          </cell>
          <cell r="F409">
            <v>0.12110687611528755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1.7338421722118739E-2</v>
          </cell>
          <cell r="E410">
            <v>1.7317827560620145E-2</v>
          </cell>
          <cell r="F410">
            <v>1.7249307611466293E-2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4.5678362175525303E-3</v>
          </cell>
          <cell r="E411">
            <v>3.6542689740420198E-3</v>
          </cell>
          <cell r="F411">
            <v>2.2838309629891907E-3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3.5385374362527852E-2</v>
          </cell>
          <cell r="E412">
            <v>7.9363379042584239E-2</v>
          </cell>
          <cell r="F412">
            <v>0.11768219260465064</v>
          </cell>
          <cell r="G412">
            <v>1.6978839352440989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3.5385374362527852E-2</v>
          </cell>
          <cell r="E413">
            <v>7.9363379042584239E-2</v>
          </cell>
          <cell r="F413">
            <v>0.11768219260465064</v>
          </cell>
          <cell r="G413">
            <v>1.6978839352440989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3.75718705815205E-3</v>
          </cell>
          <cell r="E414">
            <v>4.6356325894310497E-3</v>
          </cell>
          <cell r="F414">
            <v>4.0629566310959198E-3</v>
          </cell>
          <cell r="G414">
            <v>0.16863250751759701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3.75718705815205E-3</v>
          </cell>
          <cell r="E415">
            <v>8.3928196475830993E-3</v>
          </cell>
          <cell r="F415">
            <v>1.2455776278679E-2</v>
          </cell>
          <cell r="G415">
            <v>0.179466018193643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  <cell r="G416">
            <v>1.0093669582164599E-8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G417">
            <v>1.0093669582164599E-8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  <cell r="D418">
            <v>92.550541141063107</v>
          </cell>
          <cell r="E418">
            <v>91.724485287514895</v>
          </cell>
          <cell r="F418">
            <v>68.278001332215297</v>
          </cell>
          <cell r="G418">
            <v>32.395365188495298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  <cell r="D419">
            <v>0.61925510261332994</v>
          </cell>
          <cell r="E419">
            <v>0.62769402964339349</v>
          </cell>
          <cell r="F419">
            <v>0.4828378793282373</v>
          </cell>
          <cell r="G419">
            <v>0.24141994278144657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  <cell r="D420">
            <v>1.2540723731851358</v>
          </cell>
          <cell r="E420">
            <v>1.2428792044378716</v>
          </cell>
          <cell r="F420">
            <v>0.92517616981321527</v>
          </cell>
          <cell r="G420">
            <v>0.43896158791999057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  <cell r="D421">
            <v>6.5841999999999998E-2</v>
          </cell>
          <cell r="E421">
            <v>5.7063066666666697E-2</v>
          </cell>
          <cell r="F421">
            <v>4.3894452744381113E-2</v>
          </cell>
          <cell r="G421">
            <v>2.1947286707981423E-2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D422">
            <v>79.576349423418094</v>
          </cell>
          <cell r="E422">
            <v>100.796237247683</v>
          </cell>
          <cell r="F422">
            <v>132.626068984081</v>
          </cell>
          <cell r="G422">
            <v>185.675788544743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D423">
            <v>1.0930817228491501</v>
          </cell>
          <cell r="E423">
            <v>1.3845636984571901</v>
          </cell>
          <cell r="F423">
            <v>1.82178666186924</v>
          </cell>
          <cell r="G423">
            <v>2.5504916008893299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D424">
            <v>1.0930817228491501</v>
          </cell>
          <cell r="E424">
            <v>1.3845636984571901</v>
          </cell>
          <cell r="F424">
            <v>1.82178666186924</v>
          </cell>
          <cell r="G424">
            <v>2.5504916008893299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D425">
            <v>0.71950724372164399</v>
          </cell>
          <cell r="E425">
            <v>1.3701152397068701</v>
          </cell>
          <cell r="F425">
            <v>1.1142429823859701</v>
          </cell>
          <cell r="G425">
            <v>1.37429631117549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D426">
            <v>1.8125889665707939</v>
          </cell>
          <cell r="E426">
            <v>3.18270420627766</v>
          </cell>
          <cell r="F426">
            <v>3.18448262372406</v>
          </cell>
          <cell r="G426">
            <v>3.5385610646898398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D427">
            <v>36.606950435200567</v>
          </cell>
          <cell r="E427">
            <v>40.685198587308065</v>
          </cell>
          <cell r="F427">
            <v>101.11171167166603</v>
          </cell>
          <cell r="G427">
            <v>85.535506786613411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D428">
            <v>0.33870699931173576</v>
          </cell>
          <cell r="E428">
            <v>0.37269060761526246</v>
          </cell>
          <cell r="F428">
            <v>0.85053130941848865</v>
          </cell>
          <cell r="G428">
            <v>0.71904060249177104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D429">
            <v>0.49602913868835519</v>
          </cell>
          <cell r="E429">
            <v>0.55128995375756185</v>
          </cell>
          <cell r="F429">
            <v>1.370077393925013</v>
          </cell>
          <cell r="G429">
            <v>1.1590177071356833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E430">
            <v>6.3995995755496802E-5</v>
          </cell>
          <cell r="F430">
            <v>9.1093159528488898E-2</v>
          </cell>
          <cell r="G430">
            <v>1.0642904634471E-4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D431">
            <v>3.6542569846662321E-2</v>
          </cell>
          <cell r="E431">
            <v>3.9820000265159118E-2</v>
          </cell>
          <cell r="F431">
            <v>0.12923281873365733</v>
          </cell>
          <cell r="G431">
            <v>0.10925380316984393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G432">
            <v>1.7860914834579029E-2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G433">
            <v>4.3945095038003956E-4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G434">
            <v>4.0386001700034175E-4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G435">
            <v>3.2987581238910085E-4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G436">
            <v>1.9520586784445624E-5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G437">
            <v>1.0335655078104245E-3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G438">
            <v>6.8949342091061312E-4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G439">
            <v>8.6415907686447407E-4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G440">
            <v>6.4854806915955556E-4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G441">
            <v>8.318572379401914E-4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G442">
            <v>1.8700962571080454E-4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G443">
            <v>6.4066615980321029E-4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G444">
            <v>1.6995144835547618E-3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G445">
            <v>1.5974839449415029E-4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G446">
            <v>2.3877610098987645E-3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G447">
            <v>2.8538193260029929E-3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G448">
            <v>2.8512197506020292E-3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G449">
            <v>1.6848324167040548E-4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G450">
            <v>1.4136850707962341E-4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G451">
            <v>7.4670220854704616E-5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G452">
            <v>1.6067665307345892E-4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G453">
            <v>5.6999989973555783E-4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G454">
            <v>7.4673539025894116E-4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G455">
            <v>7.8925513617338107E-3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G456">
            <v>7.8925513617338107E-3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E457">
            <v>8.9489074085485995E-2</v>
          </cell>
          <cell r="F457">
            <v>0.170234644228243</v>
          </cell>
          <cell r="G457">
            <v>0.17026498477146099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E458">
            <v>3.6268699629359941E-2</v>
          </cell>
          <cell r="F458">
            <v>6.8993776515411331E-2</v>
          </cell>
          <cell r="G458">
            <v>6.9006073123235062E-2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D459">
            <v>6.3199470274302299E-6</v>
          </cell>
          <cell r="E459">
            <v>8.9484078145581694E-2</v>
          </cell>
          <cell r="F459">
            <v>8.0745853462303396E-2</v>
          </cell>
          <cell r="G459">
            <v>2.7730348102079399E-5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D460">
            <v>6.3199470274302299E-6</v>
          </cell>
          <cell r="E460">
            <v>8.9490398092609197E-2</v>
          </cell>
          <cell r="F460">
            <v>0.17023525126862443</v>
          </cell>
          <cell r="G460">
            <v>0.17026112007070576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D461">
            <v>36.12998659230427</v>
          </cell>
          <cell r="E461">
            <v>42.794086348251454</v>
          </cell>
          <cell r="F461">
            <v>56.809141992634636</v>
          </cell>
          <cell r="G461">
            <v>100.68391703245308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D462">
            <v>0.17195015146374643</v>
          </cell>
          <cell r="E462">
            <v>0.20366599391160123</v>
          </cell>
          <cell r="F462">
            <v>0.27036657058266589</v>
          </cell>
          <cell r="G462">
            <v>0.47917578766500862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D463">
            <v>0.4895662139878631</v>
          </cell>
          <cell r="E463">
            <v>0.57986566867549427</v>
          </cell>
          <cell r="F463">
            <v>0.76977157171591604</v>
          </cell>
          <cell r="G463">
            <v>1.3642807185969257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E464">
            <v>8.8838527698091298E-5</v>
          </cell>
          <cell r="F464">
            <v>1.23840199032988E-2</v>
          </cell>
          <cell r="G464">
            <v>2.7499023770895099E-2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D465">
            <v>1.2434912005826167E-2</v>
          </cell>
          <cell r="E465">
            <v>1.4210790580750898E-2</v>
          </cell>
          <cell r="F465">
            <v>2.6594798656400343E-2</v>
          </cell>
          <cell r="G465">
            <v>4.7659776975424825E-2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D466">
            <v>284.70212010804681</v>
          </cell>
          <cell r="E466">
            <v>391.68268446154025</v>
          </cell>
          <cell r="F466">
            <v>480.36816567472459</v>
          </cell>
          <cell r="G466">
            <v>385.52289725744015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D467">
            <v>2.3421459336170969</v>
          </cell>
          <cell r="E467">
            <v>3.2080767855330983</v>
          </cell>
          <cell r="F467">
            <v>3.8703127802854258</v>
          </cell>
          <cell r="G467">
            <v>3.1210014151154066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D468">
            <v>3.8577523049870881</v>
          </cell>
          <cell r="E468">
            <v>5.3073534479883548</v>
          </cell>
          <cell r="F468">
            <v>6.5090537354298723</v>
          </cell>
          <cell r="G468">
            <v>5.223887496713278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E469">
            <v>3.6078371210819098E-5</v>
          </cell>
          <cell r="F469">
            <v>5.4319814159207599E-2</v>
          </cell>
          <cell r="G469">
            <v>4.8190602584547301E-5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D470">
            <v>0.2174302412964304</v>
          </cell>
          <cell r="E470">
            <v>0.24340693885870404</v>
          </cell>
          <cell r="F470">
            <v>0.2936581163711352</v>
          </cell>
          <cell r="G470">
            <v>0.2368059761254562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D471">
            <v>0.37325171642810168</v>
          </cell>
          <cell r="E471">
            <v>0.46769160107108398</v>
          </cell>
          <cell r="F471">
            <v>0.38270694281719292</v>
          </cell>
          <cell r="G471">
            <v>0.30454195886929081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D472">
            <v>3.8196832167002436E-3</v>
          </cell>
          <cell r="E472">
            <v>4.9763245184777588E-3</v>
          </cell>
          <cell r="F472">
            <v>4.1029934811067943E-3</v>
          </cell>
          <cell r="G472">
            <v>3.2842825166290216E-3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D473">
            <v>5.092110728896349E-3</v>
          </cell>
          <cell r="E473">
            <v>6.380512975048892E-3</v>
          </cell>
          <cell r="F473">
            <v>5.2211042676288035E-3</v>
          </cell>
          <cell r="G473">
            <v>4.1547334088579821E-3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E474">
            <v>6.4633438538600402E-5</v>
          </cell>
          <cell r="F474">
            <v>7.9975592394786605E-5</v>
          </cell>
          <cell r="G474">
            <v>3.9249312305170897E-5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D475">
            <v>4.4461167529413444E-4</v>
          </cell>
          <cell r="E475">
            <v>5.366910667934403E-4</v>
          </cell>
          <cell r="F475">
            <v>6.0876086618126578E-4</v>
          </cell>
          <cell r="G475">
            <v>4.861628633923807E-4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D476">
            <v>280.37347064680051</v>
          </cell>
          <cell r="E476">
            <v>423.67242851298619</v>
          </cell>
          <cell r="F476">
            <v>422.41691970397727</v>
          </cell>
          <cell r="G476">
            <v>340.62589715071221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D477">
            <v>1.9636269114465459</v>
          </cell>
          <cell r="E477">
            <v>2.9624187956848442</v>
          </cell>
          <cell r="F477">
            <v>2.9512159182501323</v>
          </cell>
          <cell r="G477">
            <v>2.3990799758285228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D478">
            <v>3.7990985182493282</v>
          </cell>
          <cell r="E478">
            <v>5.7408188145391117</v>
          </cell>
          <cell r="F478">
            <v>5.7238065000538825</v>
          </cell>
          <cell r="G478">
            <v>4.6155270616627577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E479">
            <v>4.4079463567162402E-5</v>
          </cell>
          <cell r="F479">
            <v>2.41728132019131E-3</v>
          </cell>
          <cell r="G479">
            <v>3.3855459287073502E-5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D480">
            <v>0.18201246301132204</v>
          </cell>
          <cell r="E480">
            <v>0.20369722101428439</v>
          </cell>
          <cell r="F480">
            <v>0.20294573673982377</v>
          </cell>
          <cell r="G480">
            <v>0.1649787334489374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D481">
            <v>79.976399845705757</v>
          </cell>
          <cell r="E481">
            <v>94.074252458511907</v>
          </cell>
          <cell r="F481">
            <v>81.525019240248668</v>
          </cell>
          <cell r="G481">
            <v>60.85321793470748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D482">
            <v>0.78774450964614706</v>
          </cell>
          <cell r="E482">
            <v>0.90321984135370414</v>
          </cell>
          <cell r="F482">
            <v>0.81734711556779593</v>
          </cell>
          <cell r="G482">
            <v>0.63315701566794502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D483">
            <v>1.0910832175403236</v>
          </cell>
          <cell r="E483">
            <v>1.2834140853821596</v>
          </cell>
          <cell r="F483">
            <v>1.1122103579842955</v>
          </cell>
          <cell r="G483">
            <v>0.83019396909559884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E484">
            <v>2.6020367782345701E-5</v>
          </cell>
          <cell r="F484">
            <v>4.8796829824054698E-5</v>
          </cell>
          <cell r="G484">
            <v>2.2192631059177601E-5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D485">
            <v>6.4569532647551844E-2</v>
          </cell>
          <cell r="E485">
            <v>6.8530303543272011E-2</v>
          </cell>
          <cell r="F485">
            <v>6.7956718579526648E-2</v>
          </cell>
          <cell r="G485">
            <v>5.1544191328037538E-2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D490">
            <v>287.91691120451299</v>
          </cell>
          <cell r="E490">
            <v>387.8051235377672</v>
          </cell>
          <cell r="F490">
            <v>707.23924261907541</v>
          </cell>
          <cell r="G490">
            <v>588.77148354262215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D491">
            <v>1.7175299996635576</v>
          </cell>
          <cell r="E491">
            <v>2.2768989094889736</v>
          </cell>
          <cell r="F491">
            <v>4.1579315509016475</v>
          </cell>
          <cell r="G491">
            <v>3.48734905671864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D492">
            <v>3.901313159952748</v>
          </cell>
          <cell r="E492">
            <v>5.2548119720564763</v>
          </cell>
          <cell r="F492">
            <v>9.5831875693641511</v>
          </cell>
          <cell r="G492">
            <v>7.9779333813363458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  <cell r="E493">
            <v>3.5499256127892502E-5</v>
          </cell>
          <cell r="F493">
            <v>0.15313237400376101</v>
          </cell>
          <cell r="G493">
            <v>6.4887402127522501E-5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D494">
            <v>0.1570753673334325</v>
          </cell>
          <cell r="E494">
            <v>0.17929832524483189</v>
          </cell>
          <cell r="F494">
            <v>0.32748903969638049</v>
          </cell>
          <cell r="G494">
            <v>0.27465097330641752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D495">
            <v>366.93720239128231</v>
          </cell>
          <cell r="E495">
            <v>390.46735681545823</v>
          </cell>
          <cell r="F495">
            <v>386.75326270049862</v>
          </cell>
          <cell r="G495">
            <v>295.36991333319338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D496">
            <v>2.6459250867306534</v>
          </cell>
          <cell r="E496">
            <v>2.8362033059056397</v>
          </cell>
          <cell r="F496">
            <v>2.8067740541881228</v>
          </cell>
          <cell r="G496">
            <v>2.1808884060051215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D497">
            <v>5.0059645619547357</v>
          </cell>
          <cell r="E497">
            <v>5.3269762184919216</v>
          </cell>
          <cell r="F497">
            <v>5.2763064488471789</v>
          </cell>
          <cell r="G497">
            <v>4.0296031832632231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  <cell r="E498">
            <v>2.2465014411733199E-5</v>
          </cell>
          <cell r="F498">
            <v>3.50910940855735E-5</v>
          </cell>
          <cell r="G498">
            <v>1.6758398568601999E-5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D499">
            <v>0.18324137040584851</v>
          </cell>
          <cell r="E499">
            <v>0.19501837241691725</v>
          </cell>
          <cell r="F499">
            <v>0.19301790838116353</v>
          </cell>
          <cell r="G499">
            <v>0.14998272030037521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D500">
            <v>141.70378030157519</v>
          </cell>
          <cell r="E500">
            <v>162.04951422542746</v>
          </cell>
          <cell r="F500">
            <v>158.66076140232306</v>
          </cell>
          <cell r="G500">
            <v>122.51637601403499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D501">
            <v>0.90114710925472108</v>
          </cell>
          <cell r="E501">
            <v>1.0075479927533746</v>
          </cell>
          <cell r="F501">
            <v>0.98922842181098269</v>
          </cell>
          <cell r="G501">
            <v>0.77432910406483035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D502">
            <v>1.9332030054785181</v>
          </cell>
          <cell r="E502">
            <v>2.2107709989826292</v>
          </cell>
          <cell r="F502">
            <v>2.1645397189948588</v>
          </cell>
          <cell r="G502">
            <v>1.6714375991000654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  <cell r="E503">
            <v>1.08090707752088E-5</v>
          </cell>
          <cell r="F503">
            <v>1.9845515063994501E-5</v>
          </cell>
          <cell r="G503">
            <v>1.43326688694112E-5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D504">
            <v>7.1262279595673148E-2</v>
          </cell>
          <cell r="E504">
            <v>7.9347936171601255E-2</v>
          </cell>
          <cell r="F504">
            <v>7.8231218194618701E-2</v>
          </cell>
          <cell r="G504">
            <v>6.1088857192474318E-2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  <cell r="D505">
            <v>6.0544150030544497</v>
          </cell>
          <cell r="E505">
            <v>1.8310778886933901</v>
          </cell>
          <cell r="F505">
            <v>3.94988120445608</v>
          </cell>
          <cell r="G505">
            <v>4.7869144609084802E-4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  <cell r="D506">
            <v>2.9797947350202247E-2</v>
          </cell>
          <cell r="E506">
            <v>9.0959878650031922E-3</v>
          </cell>
          <cell r="F506">
            <v>1.9893042127549609E-2</v>
          </cell>
          <cell r="G506">
            <v>2.410864684345414E-6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  <cell r="D507">
            <v>0.10734778374210001</v>
          </cell>
          <cell r="E507">
            <v>3.2465920012294126E-2</v>
          </cell>
          <cell r="F507">
            <v>7.0033354688937621E-2</v>
          </cell>
          <cell r="G507">
            <v>8.4874369874263929E-6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  <cell r="D508">
            <v>2.085E-3</v>
          </cell>
          <cell r="E508">
            <v>1.807E-3</v>
          </cell>
          <cell r="F508">
            <v>1.39E-3</v>
          </cell>
          <cell r="G508">
            <v>1.7788190588899615E-7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D509">
            <v>5916.0218112789098</v>
          </cell>
          <cell r="E509">
            <v>5471.6231519150797</v>
          </cell>
          <cell r="F509">
            <v>5235.5133600794297</v>
          </cell>
          <cell r="G509">
            <v>3150.48177492378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D510">
            <v>83.558949656338839</v>
          </cell>
          <cell r="E510">
            <v>77.282570615550554</v>
          </cell>
          <cell r="F510">
            <v>73.947272046579897</v>
          </cell>
          <cell r="G510">
            <v>44.498311852876668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D511">
            <v>80.162897171800836</v>
          </cell>
          <cell r="E511">
            <v>74.141235120800587</v>
          </cell>
          <cell r="F511">
            <v>70.941915448230887</v>
          </cell>
          <cell r="G511">
            <v>42.689454944766659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D512">
            <v>4.6423594553995136</v>
          </cell>
          <cell r="E512">
            <v>4.2940279360267422</v>
          </cell>
          <cell r="F512">
            <v>4.1083024607340635</v>
          </cell>
          <cell r="G512">
            <v>2.472563221352241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D513">
            <v>1.8205424778425031E-2</v>
          </cell>
          <cell r="E513">
            <v>2.6733892157649247E-2</v>
          </cell>
          <cell r="F513">
            <v>2.7777880018457438E-2</v>
          </cell>
          <cell r="G513">
            <v>2.0599082690992396E-2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D514">
            <v>1.640286917648272E-3</v>
          </cell>
          <cell r="E514">
            <v>2.4061434730673023E-3</v>
          </cell>
          <cell r="F514">
            <v>2.4989495201288522E-3</v>
          </cell>
          <cell r="G514">
            <v>1.849330734361235E-3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D515">
            <v>3.7939575780926698E-4</v>
          </cell>
          <cell r="E515">
            <v>9.3021253835163999E-4</v>
          </cell>
          <cell r="F515">
            <v>3.9337011928896302E-4</v>
          </cell>
          <cell r="G515">
            <v>5.0661432682066099E-4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D516">
            <v>6.3201965410857198E-3</v>
          </cell>
          <cell r="E516">
            <v>9.2041924742885181E-3</v>
          </cell>
          <cell r="F516">
            <v>9.5972406398418097E-3</v>
          </cell>
          <cell r="G516">
            <v>7.1797159678098736E-3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D517">
            <v>2.3367786641783441E-3</v>
          </cell>
          <cell r="E517">
            <v>3.2843916146390578E-3</v>
          </cell>
          <cell r="F517">
            <v>3.5646044593972857E-3</v>
          </cell>
          <cell r="G517">
            <v>3.4046355720524259E-3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D518">
            <v>3.718306317594815E-4</v>
          </cell>
          <cell r="E518">
            <v>5.2209381719123531E-4</v>
          </cell>
          <cell r="F518">
            <v>5.6593196412040231E-4</v>
          </cell>
          <cell r="G518">
            <v>5.3891705457163701E-4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D519">
            <v>7.3358984107937405E-5</v>
          </cell>
          <cell r="E519">
            <v>1.60155093876675E-4</v>
          </cell>
          <cell r="F519">
            <v>1.3637465354047801E-4</v>
          </cell>
          <cell r="G519">
            <v>1.4674122433059599E-4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D520">
            <v>8.5822089226121698E-4</v>
          </cell>
          <cell r="E520">
            <v>1.1362344128105399E-3</v>
          </cell>
          <cell r="F520">
            <v>1.2724781728184408E-3</v>
          </cell>
          <cell r="G520">
            <v>1.2541948536530583E-3</v>
          </cell>
        </row>
        <row r="521">
          <cell r="A521" t="str">
            <v>TFRLFH2OFCL</v>
          </cell>
          <cell r="B521" t="str">
            <v>VAR_fout</v>
          </cell>
          <cell r="C521" t="str">
            <v>TFRLF</v>
          </cell>
        </row>
        <row r="522">
          <cell r="A522" t="str">
            <v>TFRLFH2OFCL</v>
          </cell>
          <cell r="B522" t="str">
            <v>VAR_fin</v>
          </cell>
          <cell r="C522" t="str">
            <v>TH2O</v>
          </cell>
        </row>
        <row r="523">
          <cell r="A523" t="str">
            <v>TFRLFH2OFCL</v>
          </cell>
          <cell r="B523" t="str">
            <v>VAR_ncap</v>
          </cell>
          <cell r="C523" t="str">
            <v>-</v>
          </cell>
        </row>
        <row r="524">
          <cell r="A524" t="str">
            <v>TFRLFH2OFCL</v>
          </cell>
          <cell r="B524" t="str">
            <v>VAR_cap</v>
          </cell>
          <cell r="C524" t="str">
            <v>-</v>
          </cell>
        </row>
        <row r="525">
          <cell r="A525" t="str">
            <v>T_TW-BEVELC-S3</v>
          </cell>
          <cell r="B525" t="str">
            <v>VAR_fout</v>
          </cell>
          <cell r="C525" t="str">
            <v>TPTWL</v>
          </cell>
          <cell r="D525">
            <v>3.5631437325089595E-4</v>
          </cell>
          <cell r="E525">
            <v>7.6963105038782163E-4</v>
          </cell>
          <cell r="F525">
            <v>9.4936453567632942E-4</v>
          </cell>
          <cell r="G525">
            <v>1.1196834113769297E-3</v>
          </cell>
        </row>
        <row r="526">
          <cell r="A526" t="str">
            <v>T_TW-BEVELC-S3</v>
          </cell>
          <cell r="B526" t="str">
            <v>VAR_fin</v>
          </cell>
          <cell r="C526" t="str">
            <v>T-ELC-TWSTGout_S3</v>
          </cell>
          <cell r="D526">
            <v>8.7115376997652451E-5</v>
          </cell>
          <cell r="E526">
            <v>1.8769345597598026E-4</v>
          </cell>
          <cell r="F526">
            <v>2.3088824365525979E-4</v>
          </cell>
          <cell r="G526">
            <v>2.7108876708659992E-4</v>
          </cell>
        </row>
        <row r="527">
          <cell r="A527" t="str">
            <v>T_TW-BEVELC-S3</v>
          </cell>
          <cell r="B527" t="str">
            <v>VAR_ncap</v>
          </cell>
          <cell r="C527" t="str">
            <v>-</v>
          </cell>
          <cell r="D527">
            <v>2.6547933918439401E-5</v>
          </cell>
          <cell r="E527">
            <v>8.3620049493211696E-5</v>
          </cell>
          <cell r="F527">
            <v>7.5485242562950004E-5</v>
          </cell>
          <cell r="G527">
            <v>7.6449846759830506E-5</v>
          </cell>
        </row>
        <row r="528">
          <cell r="A528" t="str">
            <v>T_TW-BEVELC-S3</v>
          </cell>
          <cell r="B528" t="str">
            <v>VAR_cap</v>
          </cell>
          <cell r="C528" t="str">
            <v>-</v>
          </cell>
          <cell r="D528">
            <v>1.3352988952602878E-4</v>
          </cell>
          <cell r="E528">
            <v>2.7203768844505773E-4</v>
          </cell>
          <cell r="F528">
            <v>3.4747988961705427E-4</v>
          </cell>
          <cell r="G528">
            <v>4.2385836915197211E-4</v>
          </cell>
        </row>
        <row r="529">
          <cell r="A529" t="str">
            <v>T_TW-BEVELC-S4</v>
          </cell>
          <cell r="B529" t="str">
            <v>VAR_fout</v>
          </cell>
          <cell r="C529" t="str">
            <v>TPTWL</v>
          </cell>
          <cell r="D529">
            <v>3.4259953399991679E-4</v>
          </cell>
          <cell r="E529">
            <v>6.6571464839714194E-4</v>
          </cell>
          <cell r="F529">
            <v>8.7907304048482184E-4</v>
          </cell>
          <cell r="G529">
            <v>1.0288083306235422E-3</v>
          </cell>
        </row>
        <row r="530">
          <cell r="A530" t="str">
            <v>T_TW-BEVELC-S4</v>
          </cell>
          <cell r="B530" t="str">
            <v>VAR_fin</v>
          </cell>
          <cell r="C530" t="str">
            <v>T-ELC-TWSTGout_S4</v>
          </cell>
          <cell r="D530">
            <v>9.099459955893351E-5</v>
          </cell>
          <cell r="E530">
            <v>1.7630339354034321E-4</v>
          </cell>
          <cell r="F530">
            <v>2.3194311710971919E-4</v>
          </cell>
          <cell r="G530">
            <v>2.7017327396015151E-4</v>
          </cell>
        </row>
        <row r="531">
          <cell r="A531" t="str">
            <v>T_TW-BEVELC-S4</v>
          </cell>
          <cell r="B531" t="str">
            <v>VAR_ncap</v>
          </cell>
          <cell r="C531" t="str">
            <v>-</v>
          </cell>
          <cell r="D531">
            <v>1.14605391584171E-4</v>
          </cell>
          <cell r="E531">
            <v>9.2879431943088301E-5</v>
          </cell>
          <cell r="F531">
            <v>8.5620487446019201E-5</v>
          </cell>
          <cell r="G531">
            <v>6.9022578407377106E-5</v>
          </cell>
        </row>
        <row r="532">
          <cell r="A532" t="str">
            <v>T_TW-BEVELC-S4</v>
          </cell>
          <cell r="B532" t="str">
            <v>VAR_cap</v>
          </cell>
          <cell r="C532" t="str">
            <v>-</v>
          </cell>
          <cell r="D532">
            <v>1.27605391584171E-4</v>
          </cell>
          <cell r="E532">
            <v>2.3439827875855633E-4</v>
          </cell>
          <cell r="F532">
            <v>3.1999834761579996E-4</v>
          </cell>
          <cell r="G532">
            <v>3.8890965149704517E-4</v>
          </cell>
        </row>
        <row r="533">
          <cell r="A533" t="str">
            <v>T_B_u-BeVELCEXT</v>
          </cell>
          <cell r="B533" t="str">
            <v>VAR_fout</v>
          </cell>
          <cell r="C533" t="str">
            <v>TPBSu</v>
          </cell>
          <cell r="D533">
            <v>1.9865739041166324E-3</v>
          </cell>
          <cell r="E533">
            <v>1.6039275753089177E-3</v>
          </cell>
          <cell r="F533">
            <v>1.0023535562568027E-3</v>
          </cell>
        </row>
        <row r="534">
          <cell r="A534" t="str">
            <v>T_B_u-BeVELCEXT</v>
          </cell>
          <cell r="B534" t="str">
            <v>VAR_fin</v>
          </cell>
          <cell r="C534" t="str">
            <v>TELC</v>
          </cell>
          <cell r="D534">
            <v>4.7405428965564166E-4</v>
          </cell>
          <cell r="E534">
            <v>4.7541377605954209E-4</v>
          </cell>
          <cell r="F534">
            <v>4.6654285064018272E-4</v>
          </cell>
        </row>
        <row r="535">
          <cell r="A535" t="str">
            <v>T_B_u-BeVELCEXT</v>
          </cell>
          <cell r="B535" t="str">
            <v>VAR_cap</v>
          </cell>
          <cell r="C535" t="str">
            <v>-</v>
          </cell>
          <cell r="D535">
            <v>3.77895550061805E-5</v>
          </cell>
          <cell r="E535">
            <v>3.02316440049444E-5</v>
          </cell>
          <cell r="F535">
            <v>1.8894777503090199E-5</v>
          </cell>
        </row>
        <row r="536">
          <cell r="A536" t="str">
            <v>T_B_u-HYBDSL-S1</v>
          </cell>
          <cell r="B536" t="str">
            <v>VAR_fout</v>
          </cell>
          <cell r="C536" t="str">
            <v>CO2_T</v>
          </cell>
          <cell r="E536">
            <v>9.0097734663466191</v>
          </cell>
          <cell r="F536">
            <v>9.0628311440381104</v>
          </cell>
        </row>
        <row r="537">
          <cell r="A537" t="str">
            <v>T_B_u-HYBDSL-S1</v>
          </cell>
          <cell r="B537" t="str">
            <v>VAR_fout</v>
          </cell>
          <cell r="C537" t="str">
            <v>TPBSu</v>
          </cell>
          <cell r="E537">
            <v>1.9975601901423185E-2</v>
          </cell>
          <cell r="F537">
            <v>2.0099290614322585E-2</v>
          </cell>
        </row>
        <row r="538">
          <cell r="A538" t="str">
            <v>T_B_u-HYBDSL-S1</v>
          </cell>
          <cell r="B538" t="str">
            <v>VAR_fin</v>
          </cell>
          <cell r="C538" t="str">
            <v>TDSL</v>
          </cell>
          <cell r="E538">
            <v>0.12291641836762104</v>
          </cell>
          <cell r="F538">
            <v>0.12364026117378057</v>
          </cell>
        </row>
        <row r="539">
          <cell r="A539" t="str">
            <v>T_B_u-HYBDSL-S1</v>
          </cell>
          <cell r="B539" t="str">
            <v>VAR_ncap</v>
          </cell>
          <cell r="C539" t="str">
            <v>-</v>
          </cell>
          <cell r="E539">
            <v>3.7689203488428202E-4</v>
          </cell>
          <cell r="F539">
            <v>2.5424025241976198E-6</v>
          </cell>
        </row>
        <row r="540">
          <cell r="A540" t="str">
            <v>T_B_u-HYBDSL-S1</v>
          </cell>
          <cell r="B540" t="str">
            <v>VAR_cap</v>
          </cell>
          <cell r="C540" t="str">
            <v>-</v>
          </cell>
          <cell r="E540">
            <v>3.7689203488428202E-4</v>
          </cell>
          <cell r="F540">
            <v>3.7943443740847901E-4</v>
          </cell>
          <cell r="G540">
            <v>6.3548373069842456E-9</v>
          </cell>
        </row>
        <row r="541">
          <cell r="A541" t="str">
            <v>T_B_u-HYBDSL-S2</v>
          </cell>
          <cell r="B541" t="str">
            <v>VAR_fout</v>
          </cell>
          <cell r="C541" t="str">
            <v>CO2_T</v>
          </cell>
          <cell r="E541">
            <v>5.9327586186198503E-2</v>
          </cell>
          <cell r="F541">
            <v>8.9605082448984602E-2</v>
          </cell>
        </row>
        <row r="542">
          <cell r="A542" t="str">
            <v>T_B_u-HYBDSL-S2</v>
          </cell>
          <cell r="B542" t="str">
            <v>VAR_fout</v>
          </cell>
          <cell r="C542" t="str">
            <v>TPBSu</v>
          </cell>
          <cell r="E542">
            <v>9.4287911742980241E-5</v>
          </cell>
          <cell r="F542">
            <v>1.4477499868115472E-4</v>
          </cell>
        </row>
        <row r="543">
          <cell r="A543" t="str">
            <v>T_B_u-HYBDSL-S2</v>
          </cell>
          <cell r="B543" t="str">
            <v>VAR_fin</v>
          </cell>
          <cell r="C543" t="str">
            <v>TDSL</v>
          </cell>
          <cell r="E543">
            <v>8.0938043910229799E-4</v>
          </cell>
          <cell r="F543">
            <v>1.2224431439152067E-3</v>
          </cell>
        </row>
        <row r="544">
          <cell r="A544" t="str">
            <v>T_B_u-HYBDSL-S2</v>
          </cell>
          <cell r="B544" t="str">
            <v>VAR_ncap</v>
          </cell>
          <cell r="C544" t="str">
            <v>-</v>
          </cell>
          <cell r="E544">
            <v>1.8537143008271799E-6</v>
          </cell>
          <cell r="F544">
            <v>9.8034741531775309E-7</v>
          </cell>
        </row>
        <row r="545">
          <cell r="A545" t="str">
            <v>T_B_u-HYBDSL-S2</v>
          </cell>
          <cell r="B545" t="str">
            <v>VAR_cap</v>
          </cell>
          <cell r="C545" t="str">
            <v>-</v>
          </cell>
          <cell r="E545">
            <v>1.8537143008271799E-6</v>
          </cell>
          <cell r="F545">
            <v>2.83406171614493E-6</v>
          </cell>
          <cell r="G545">
            <v>-6.7873834889965205E-10</v>
          </cell>
        </row>
        <row r="546">
          <cell r="A546" t="str">
            <v>T_B_u-HYBDSL-S3</v>
          </cell>
          <cell r="B546" t="str">
            <v>VAR_fout</v>
          </cell>
          <cell r="C546" t="str">
            <v>CO2_T</v>
          </cell>
          <cell r="E546">
            <v>9.39386763228275E-2</v>
          </cell>
          <cell r="F546">
            <v>0.1248208484416459</v>
          </cell>
        </row>
        <row r="547">
          <cell r="A547" t="str">
            <v>T_B_u-HYBDSL-S3</v>
          </cell>
          <cell r="B547" t="str">
            <v>VAR_fout</v>
          </cell>
          <cell r="C547" t="str">
            <v>TPBSu</v>
          </cell>
          <cell r="E547">
            <v>1.0026425837381608E-4</v>
          </cell>
          <cell r="F547">
            <v>1.3485287615986561E-4</v>
          </cell>
        </row>
        <row r="548">
          <cell r="A548" t="str">
            <v>T_B_u-HYBDSL-S3</v>
          </cell>
          <cell r="B548" t="str">
            <v>VAR_fin</v>
          </cell>
          <cell r="C548" t="str">
            <v>TDSL</v>
          </cell>
          <cell r="E548">
            <v>1.2815644791654497E-3</v>
          </cell>
          <cell r="F548">
            <v>1.7028765135285917E-3</v>
          </cell>
        </row>
        <row r="549">
          <cell r="A549" t="str">
            <v>T_B_u-HYBDSL-S3</v>
          </cell>
          <cell r="B549" t="str">
            <v>VAR_ncap</v>
          </cell>
          <cell r="C549" t="str">
            <v>-</v>
          </cell>
          <cell r="E549">
            <v>1.93253617236618E-6</v>
          </cell>
          <cell r="F549">
            <v>6.5293728132397703E-7</v>
          </cell>
        </row>
        <row r="550">
          <cell r="A550" t="str">
            <v>T_B_u-HYBDSL-S3</v>
          </cell>
          <cell r="B550" t="str">
            <v>VAR_cap</v>
          </cell>
          <cell r="C550" t="str">
            <v>-</v>
          </cell>
          <cell r="E550">
            <v>1.93253617236618E-6</v>
          </cell>
          <cell r="F550">
            <v>2.5854734536901601E-6</v>
          </cell>
          <cell r="G550">
            <v>-5.4121987256700394E-9</v>
          </cell>
        </row>
        <row r="551">
          <cell r="A551" t="str">
            <v>T_C-HY-GSL-S1</v>
          </cell>
          <cell r="B551" t="str">
            <v>VAR_fout</v>
          </cell>
          <cell r="C551" t="str">
            <v>CO2_T</v>
          </cell>
          <cell r="D551">
            <v>3.3703261033305276</v>
          </cell>
          <cell r="E551">
            <v>4.0025349826409107</v>
          </cell>
          <cell r="F551">
            <v>2.8316440752883523</v>
          </cell>
          <cell r="G551">
            <v>2.2203003022366983</v>
          </cell>
        </row>
        <row r="552">
          <cell r="A552" t="str">
            <v>T_C-HY-GSL-S1</v>
          </cell>
          <cell r="B552" t="str">
            <v>VAR_fout</v>
          </cell>
          <cell r="C552" t="str">
            <v>TPCAR</v>
          </cell>
          <cell r="D552">
            <v>5.1842376068090723E-2</v>
          </cell>
          <cell r="E552">
            <v>6.2994644506024072E-2</v>
          </cell>
          <cell r="F552">
            <v>4.4449299097924895E-2</v>
          </cell>
          <cell r="G552">
            <v>3.6015858304670037E-2</v>
          </cell>
        </row>
        <row r="553">
          <cell r="A553" t="str">
            <v>T_C-HY-GSL-S1</v>
          </cell>
          <cell r="B553" t="str">
            <v>VAR_fin</v>
          </cell>
          <cell r="C553" t="str">
            <v>TGSL</v>
          </cell>
          <cell r="D553">
            <v>4.5668375383882465E-2</v>
          </cell>
          <cell r="E553">
            <v>5.4234891363697905E-2</v>
          </cell>
          <cell r="F553">
            <v>3.8369160911766308E-2</v>
          </cell>
          <cell r="G553">
            <v>3.0085369949006749E-2</v>
          </cell>
        </row>
        <row r="554">
          <cell r="A554" t="str">
            <v>T_C-HY-GSL-S1</v>
          </cell>
          <cell r="B554" t="str">
            <v>VAR_ncap</v>
          </cell>
          <cell r="C554" t="str">
            <v>-</v>
          </cell>
          <cell r="E554">
            <v>1.7558201141728501E-4</v>
          </cell>
          <cell r="F554">
            <v>1.1782169750728E-4</v>
          </cell>
          <cell r="G554">
            <v>9.0682828567735497E-5</v>
          </cell>
        </row>
        <row r="555">
          <cell r="A555" t="str">
            <v>T_C-HY-GSL-S1</v>
          </cell>
          <cell r="B555" t="str">
            <v>VAR_cap</v>
          </cell>
          <cell r="C555" t="str">
            <v>-</v>
          </cell>
          <cell r="D555">
            <v>5.6689576723698279E-3</v>
          </cell>
          <cell r="E555">
            <v>6.7329101209529802E-3</v>
          </cell>
          <cell r="F555">
            <v>6.7317664628616727E-3</v>
          </cell>
          <cell r="G555">
            <v>5.4507197621922014E-3</v>
          </cell>
        </row>
        <row r="556">
          <cell r="A556" t="str">
            <v>T_B_u-HYBDSL-S4</v>
          </cell>
          <cell r="B556" t="str">
            <v>VAR_fout</v>
          </cell>
          <cell r="C556" t="str">
            <v>CO2_T</v>
          </cell>
          <cell r="E556">
            <v>2.1969821568808201E-3</v>
          </cell>
          <cell r="F556">
            <v>4.5553296994471698E-3</v>
          </cell>
        </row>
        <row r="557">
          <cell r="A557" t="str">
            <v>T_B_u-HYBDSL-S4</v>
          </cell>
          <cell r="B557" t="str">
            <v>VAR_fout</v>
          </cell>
          <cell r="C557" t="str">
            <v>TPBSu</v>
          </cell>
          <cell r="E557">
            <v>1.5810910239751136E-6</v>
          </cell>
          <cell r="F557">
            <v>3.3518136856794761E-6</v>
          </cell>
        </row>
        <row r="558">
          <cell r="A558" t="str">
            <v>T_B_u-HYBDSL-S4</v>
          </cell>
          <cell r="B558" t="str">
            <v>VAR_fin</v>
          </cell>
          <cell r="C558" t="str">
            <v>TDSL</v>
          </cell>
          <cell r="E558">
            <v>2.9972471444485996E-5</v>
          </cell>
          <cell r="F558">
            <v>6.2146380620016026E-5</v>
          </cell>
        </row>
        <row r="559">
          <cell r="A559" t="str">
            <v>T_B_u-HYBDSL-S4</v>
          </cell>
          <cell r="B559" t="str">
            <v>VAR_ncap</v>
          </cell>
          <cell r="C559" t="str">
            <v>-</v>
          </cell>
          <cell r="E559">
            <v>4.9571384571585599E-8</v>
          </cell>
          <cell r="F559">
            <v>4.3898318748596101E-8</v>
          </cell>
        </row>
        <row r="560">
          <cell r="A560" t="str">
            <v>T_B_u-HYBDSL-S4</v>
          </cell>
          <cell r="B560" t="str">
            <v>VAR_cap</v>
          </cell>
          <cell r="C560" t="str">
            <v>-</v>
          </cell>
          <cell r="E560">
            <v>4.9571384571585599E-8</v>
          </cell>
          <cell r="F560">
            <v>9.3469703320181694E-8</v>
          </cell>
          <cell r="G560">
            <v>-5.154419493338305E-9</v>
          </cell>
        </row>
        <row r="561">
          <cell r="A561" t="str">
            <v>TFRLFDSLEXT</v>
          </cell>
          <cell r="B561" t="str">
            <v>VAR_fout</v>
          </cell>
          <cell r="C561" t="str">
            <v>CO2_T</v>
          </cell>
          <cell r="D561">
            <v>29.033424458663699</v>
          </cell>
          <cell r="E561">
            <v>20.332275989376502</v>
          </cell>
          <cell r="F561">
            <v>3.6696576091280797E-2</v>
          </cell>
          <cell r="G561">
            <v>3.4012479995111103E-2</v>
          </cell>
        </row>
        <row r="562">
          <cell r="A562" t="str">
            <v>TFRLFDSLEXT</v>
          </cell>
          <cell r="B562" t="str">
            <v>VAR_fout</v>
          </cell>
          <cell r="C562" t="str">
            <v>TFRLF</v>
          </cell>
          <cell r="D562">
            <v>1.6053835541250943E-3</v>
          </cell>
          <cell r="E562">
            <v>1.1242594389011976E-3</v>
          </cell>
          <cell r="F562">
            <v>2.0291123368350284E-6</v>
          </cell>
          <cell r="G562">
            <v>1.8806970599317776E-6</v>
          </cell>
        </row>
        <row r="563">
          <cell r="A563" t="str">
            <v>TFRLFDSLEXT</v>
          </cell>
          <cell r="B563" t="str">
            <v>VAR_fin</v>
          </cell>
          <cell r="C563" t="str">
            <v>TDSL</v>
          </cell>
          <cell r="D563">
            <v>0.39609037460659835</v>
          </cell>
          <cell r="E563">
            <v>0.27738439276093391</v>
          </cell>
          <cell r="F563">
            <v>5.006354173435301E-4</v>
          </cell>
          <cell r="G563">
            <v>4.640174624162496E-4</v>
          </cell>
        </row>
        <row r="564">
          <cell r="A564" t="str">
            <v>TFRLFDSLEXT</v>
          </cell>
          <cell r="B564" t="str">
            <v>VAR_ncap</v>
          </cell>
          <cell r="C564" t="str">
            <v>-</v>
          </cell>
          <cell r="D564">
            <v>1.4821544340635299E-4</v>
          </cell>
        </row>
        <row r="565">
          <cell r="A565" t="str">
            <v>TFRLFDSLEXT</v>
          </cell>
          <cell r="B565" t="str">
            <v>VAR_cap</v>
          </cell>
          <cell r="C565" t="str">
            <v>-</v>
          </cell>
          <cell r="D565">
            <v>1.4821544340635299E-4</v>
          </cell>
          <cell r="E565">
            <v>1.4821544340635299E-4</v>
          </cell>
          <cell r="F565">
            <v>3.2614239458300556E-7</v>
          </cell>
          <cell r="G565">
            <v>2.9282581436599004E-7</v>
          </cell>
        </row>
        <row r="566">
          <cell r="A566" t="str">
            <v>T_C-HY-GSL-S2</v>
          </cell>
          <cell r="B566" t="str">
            <v>VAR_fout</v>
          </cell>
          <cell r="C566" t="str">
            <v>CO2_T</v>
          </cell>
          <cell r="D566">
            <v>10.26900324334434</v>
          </cell>
          <cell r="E566">
            <v>15.467152486088944</v>
          </cell>
          <cell r="F566">
            <v>59.659312621729889</v>
          </cell>
          <cell r="G566">
            <v>51.725216119320812</v>
          </cell>
        </row>
        <row r="567">
          <cell r="A567" t="str">
            <v>T_C-HY-GSL-S2</v>
          </cell>
          <cell r="B567" t="str">
            <v>VAR_fout</v>
          </cell>
          <cell r="C567" t="str">
            <v>TPCAR</v>
          </cell>
          <cell r="D567">
            <v>0.22209836754142978</v>
          </cell>
          <cell r="E567">
            <v>0.40023424951921682</v>
          </cell>
          <cell r="F567">
            <v>1.5264451623210131</v>
          </cell>
          <cell r="G567">
            <v>1.31933516843232</v>
          </cell>
        </row>
        <row r="568">
          <cell r="A568" t="str">
            <v>T_C-HY-GSL-S2</v>
          </cell>
          <cell r="B568" t="str">
            <v>VAR_fin</v>
          </cell>
          <cell r="C568" t="str">
            <v>TGSL</v>
          </cell>
          <cell r="D568">
            <v>0.13914638541117022</v>
          </cell>
          <cell r="E568">
            <v>0.20958201200662538</v>
          </cell>
          <cell r="F568">
            <v>0.80839176994213924</v>
          </cell>
          <cell r="G568">
            <v>0.70088368725367001</v>
          </cell>
        </row>
        <row r="569">
          <cell r="A569" t="str">
            <v>T_C-HY-GSL-S2</v>
          </cell>
          <cell r="B569" t="str">
            <v>VAR_ncap</v>
          </cell>
          <cell r="C569" t="str">
            <v>-</v>
          </cell>
          <cell r="E569">
            <v>1.1518313313844499E-3</v>
          </cell>
          <cell r="F569">
            <v>8.8416201679271195E-2</v>
          </cell>
          <cell r="G569">
            <v>5.00863342200978E-5</v>
          </cell>
        </row>
        <row r="570">
          <cell r="A570" t="str">
            <v>T_C-HY-GSL-S2</v>
          </cell>
          <cell r="B570" t="str">
            <v>VAR_cap</v>
          </cell>
          <cell r="C570" t="str">
            <v>-</v>
          </cell>
          <cell r="D570">
            <v>1.722698217764649E-2</v>
          </cell>
          <cell r="E570">
            <v>3.0366981462741648E-2</v>
          </cell>
          <cell r="F570">
            <v>0.11645845252866525</v>
          </cell>
          <cell r="G570">
            <v>0.10010456456372656</v>
          </cell>
        </row>
        <row r="571">
          <cell r="A571" t="str">
            <v>TPSHPNGAEXT</v>
          </cell>
          <cell r="B571" t="str">
            <v>VAR_ncap</v>
          </cell>
          <cell r="C571" t="str">
            <v>-</v>
          </cell>
          <cell r="D571">
            <v>2.6675141291232901E-6</v>
          </cell>
          <cell r="E571">
            <v>3.60668175726543E-6</v>
          </cell>
          <cell r="F571">
            <v>5.6295304372435002E-6</v>
          </cell>
          <cell r="G571">
            <v>6.1427061446890299E-6</v>
          </cell>
        </row>
        <row r="572">
          <cell r="A572" t="str">
            <v>TPSHPNGAEXT</v>
          </cell>
          <cell r="B572" t="str">
            <v>VAR_cap</v>
          </cell>
          <cell r="C572" t="str">
            <v>-</v>
          </cell>
          <cell r="D572">
            <v>2.6675141291232901E-6</v>
          </cell>
          <cell r="E572">
            <v>6.27419588638872E-6</v>
          </cell>
          <cell r="F572">
            <v>9.4172559445306499E-6</v>
          </cell>
          <cell r="G572">
            <v>1.1383713792557229E-5</v>
          </cell>
        </row>
        <row r="573">
          <cell r="A573" t="str">
            <v>T_C-HY-DSL-S1</v>
          </cell>
          <cell r="B573" t="str">
            <v>VAR_fout</v>
          </cell>
          <cell r="C573" t="str">
            <v>CO2_T</v>
          </cell>
          <cell r="D573">
            <v>2.2822327869811798E-3</v>
          </cell>
          <cell r="E573">
            <v>13.151445781385057</v>
          </cell>
          <cell r="F573">
            <v>8.7688521210054446</v>
          </cell>
          <cell r="G573">
            <v>7.0746794145944705</v>
          </cell>
        </row>
        <row r="574">
          <cell r="A574" t="str">
            <v>T_C-HY-DSL-S1</v>
          </cell>
          <cell r="B574" t="str">
            <v>VAR_fout</v>
          </cell>
          <cell r="C574" t="str">
            <v>TPCAR</v>
          </cell>
          <cell r="D574">
            <v>1.3022151784539681E-5</v>
          </cell>
          <cell r="E574">
            <v>0.3045806444938971</v>
          </cell>
          <cell r="F574">
            <v>0.20285847590748093</v>
          </cell>
          <cell r="G574">
            <v>0.16330417714384768</v>
          </cell>
        </row>
        <row r="575">
          <cell r="A575" t="str">
            <v>T_C-HY-DSL-S1</v>
          </cell>
          <cell r="B575" t="str">
            <v>VAR_fin</v>
          </cell>
          <cell r="C575" t="str">
            <v>TDSL</v>
          </cell>
          <cell r="D575">
            <v>3.113550869005707E-5</v>
          </cell>
          <cell r="E575">
            <v>0.17941945131493947</v>
          </cell>
          <cell r="F575">
            <v>0.11962963330157481</v>
          </cell>
          <cell r="G575">
            <v>9.6516772368273787E-2</v>
          </cell>
        </row>
        <row r="576">
          <cell r="A576" t="str">
            <v>T_C-HY-DSL-S1</v>
          </cell>
          <cell r="B576" t="str">
            <v>VAR_ncap</v>
          </cell>
          <cell r="C576" t="str">
            <v>-</v>
          </cell>
          <cell r="E576">
            <v>3.2978336977000498E-2</v>
          </cell>
          <cell r="F576">
            <v>1.4491678367372201E-4</v>
          </cell>
          <cell r="G576">
            <v>5.9333203542756403E-5</v>
          </cell>
        </row>
        <row r="577">
          <cell r="A577" t="str">
            <v>T_C-HY-DSL-S1</v>
          </cell>
          <cell r="B577" t="str">
            <v>VAR_cap</v>
          </cell>
          <cell r="C577" t="str">
            <v>-</v>
          </cell>
          <cell r="D577">
            <v>1.5999999999999999E-6</v>
          </cell>
          <cell r="E577">
            <v>3.2540891399801694E-2</v>
          </cell>
          <cell r="F577">
            <v>3.0821337649031083E-2</v>
          </cell>
          <cell r="G577">
            <v>2.4811134460325929E-2</v>
          </cell>
        </row>
        <row r="578">
          <cell r="A578" t="str">
            <v>T_C-HY-GSL-S3</v>
          </cell>
          <cell r="B578" t="str">
            <v>VAR_fout</v>
          </cell>
          <cell r="C578" t="str">
            <v>CO2_T</v>
          </cell>
          <cell r="D578">
            <v>7.5863956884847905</v>
          </cell>
          <cell r="E578">
            <v>91.528088015958801</v>
          </cell>
          <cell r="F578">
            <v>86.577410744395308</v>
          </cell>
          <cell r="G578">
            <v>69.258791376463975</v>
          </cell>
        </row>
        <row r="579">
          <cell r="A579" t="str">
            <v>T_C-HY-GSL-S3</v>
          </cell>
          <cell r="B579" t="str">
            <v>VAR_fout</v>
          </cell>
          <cell r="C579" t="str">
            <v>TPCAR</v>
          </cell>
          <cell r="D579">
            <v>0.20256776084306646</v>
          </cell>
          <cell r="E579">
            <v>3.0948468616201326</v>
          </cell>
          <cell r="F579">
            <v>2.9242028020869628</v>
          </cell>
          <cell r="G579">
            <v>2.3542725473161892</v>
          </cell>
        </row>
        <row r="580">
          <cell r="A580" t="str">
            <v>T_C-HY-GSL-S3</v>
          </cell>
          <cell r="B580" t="str">
            <v>VAR_fin</v>
          </cell>
          <cell r="C580" t="str">
            <v>TGSL</v>
          </cell>
          <cell r="D580">
            <v>0.10279668954586449</v>
          </cell>
          <cell r="E580">
            <v>1.2402179947961895</v>
          </cell>
          <cell r="F580">
            <v>1.1731356469430259</v>
          </cell>
          <cell r="G580">
            <v>0.93846600781116674</v>
          </cell>
        </row>
        <row r="581">
          <cell r="A581" t="str">
            <v>T_C-HY-GSL-S3</v>
          </cell>
          <cell r="B581" t="str">
            <v>VAR_ncap</v>
          </cell>
          <cell r="C581" t="str">
            <v>-</v>
          </cell>
          <cell r="E581">
            <v>0.18938415609885101</v>
          </cell>
          <cell r="F581">
            <v>6.1131217888775403E-5</v>
          </cell>
          <cell r="G581">
            <v>1.8656231894471801E-5</v>
          </cell>
        </row>
        <row r="582">
          <cell r="A582" t="str">
            <v>T_C-HY-GSL-S3</v>
          </cell>
          <cell r="B582" t="str">
            <v>VAR_cap</v>
          </cell>
          <cell r="C582" t="str">
            <v>-</v>
          </cell>
          <cell r="D582">
            <v>1.424874060708994E-2</v>
          </cell>
          <cell r="E582">
            <v>0.21279755811278031</v>
          </cell>
          <cell r="F582">
            <v>0.20108110004647206</v>
          </cell>
          <cell r="G582">
            <v>0.16188686430364529</v>
          </cell>
        </row>
        <row r="583">
          <cell r="A583" t="str">
            <v>T_C-HY-DSL-S2</v>
          </cell>
          <cell r="B583" t="str">
            <v>VAR_fout</v>
          </cell>
          <cell r="C583" t="str">
            <v>CO2_T</v>
          </cell>
          <cell r="D583">
            <v>0.20169342001163632</v>
          </cell>
          <cell r="E583">
            <v>48.970566077904877</v>
          </cell>
          <cell r="F583">
            <v>91.389125697400232</v>
          </cell>
          <cell r="G583">
            <v>76.858307705869606</v>
          </cell>
        </row>
        <row r="584">
          <cell r="A584" t="str">
            <v>T_C-HY-DSL-S2</v>
          </cell>
          <cell r="B584" t="str">
            <v>VAR_fout</v>
          </cell>
          <cell r="C584" t="str">
            <v>TPCAR</v>
          </cell>
          <cell r="D584">
            <v>3.2272550794998226E-3</v>
          </cell>
          <cell r="E584">
            <v>1.7913797196674113</v>
          </cell>
          <cell r="F584">
            <v>2.8938902071278814</v>
          </cell>
          <cell r="G584">
            <v>2.4156816630049192</v>
          </cell>
        </row>
        <row r="585">
          <cell r="A585" t="str">
            <v>T_C-HY-DSL-S2</v>
          </cell>
          <cell r="B585" t="str">
            <v>VAR_fin</v>
          </cell>
          <cell r="C585" t="str">
            <v>TDSL</v>
          </cell>
          <cell r="D585">
            <v>2.7516155526826234E-3</v>
          </cell>
          <cell r="E585">
            <v>0.66808412111739224</v>
          </cell>
          <cell r="F585">
            <v>1.2467820695416123</v>
          </cell>
          <cell r="G585">
            <v>1.048544443463433</v>
          </cell>
        </row>
        <row r="586">
          <cell r="A586" t="str">
            <v>T_C-HY-DSL-S2</v>
          </cell>
          <cell r="B586" t="str">
            <v>VAR_ncap</v>
          </cell>
          <cell r="C586" t="str">
            <v>-</v>
          </cell>
          <cell r="E586">
            <v>0.13722406639639601</v>
          </cell>
          <cell r="F586">
            <v>9.2664656237540693E-2</v>
          </cell>
          <cell r="G586">
            <v>3.4266823862608499E-5</v>
          </cell>
        </row>
        <row r="587">
          <cell r="A587" t="str">
            <v>T_C-HY-DSL-S2</v>
          </cell>
          <cell r="B587" t="str">
            <v>VAR_cap</v>
          </cell>
          <cell r="C587" t="str">
            <v>-</v>
          </cell>
          <cell r="D587">
            <v>2.5978003967956707E-4</v>
          </cell>
          <cell r="E587">
            <v>0.13591782334253247</v>
          </cell>
          <cell r="F587">
            <v>0.21957193503820768</v>
          </cell>
          <cell r="G587">
            <v>0.18329143679860987</v>
          </cell>
        </row>
        <row r="588">
          <cell r="A588" t="str">
            <v>D-T-ELC-Bus_c_S1</v>
          </cell>
          <cell r="B588" t="str">
            <v>VAR_fout</v>
          </cell>
          <cell r="C588" t="str">
            <v>T-ELC-Bus_c_BatSTGin_S1</v>
          </cell>
          <cell r="D588">
            <v>3.8865632905781737E-4</v>
          </cell>
          <cell r="E588">
            <v>5.5504908532085541E-3</v>
          </cell>
          <cell r="F588">
            <v>6.3801764829297418E-3</v>
          </cell>
          <cell r="G588">
            <v>0.14515176289970644</v>
          </cell>
        </row>
        <row r="589">
          <cell r="A589" t="str">
            <v>D-T-ELC-Bus_c_S1</v>
          </cell>
          <cell r="B589" t="str">
            <v>VAR_fin</v>
          </cell>
          <cell r="C589" t="str">
            <v>TELC</v>
          </cell>
          <cell r="D589">
            <v>3.8865632905781737E-4</v>
          </cell>
          <cell r="E589">
            <v>5.5504908532085541E-3</v>
          </cell>
          <cell r="F589">
            <v>6.3801764829297418E-3</v>
          </cell>
          <cell r="G589">
            <v>0.14515176289970644</v>
          </cell>
        </row>
        <row r="590">
          <cell r="A590" t="str">
            <v>D-T-ELC-Bus_c_S1</v>
          </cell>
          <cell r="B590" t="str">
            <v>VAR_ncap</v>
          </cell>
          <cell r="C590" t="str">
            <v>-</v>
          </cell>
          <cell r="D590">
            <v>6.8346415465515397E-5</v>
          </cell>
          <cell r="E590">
            <v>9.801346127481451E-4</v>
          </cell>
          <cell r="F590">
            <v>1.19405017215895E-4</v>
          </cell>
          <cell r="G590">
            <v>1.74981187059782E-2</v>
          </cell>
        </row>
        <row r="591">
          <cell r="A591" t="str">
            <v>D-T-ELC-Bus_c_S1</v>
          </cell>
          <cell r="B591" t="str">
            <v>VAR_cap</v>
          </cell>
          <cell r="C591" t="str">
            <v>-</v>
          </cell>
          <cell r="D591">
            <v>6.8346415465515397E-5</v>
          </cell>
          <cell r="E591">
            <v>1.0484810282136599E-3</v>
          </cell>
          <cell r="F591">
            <v>1.16788604542956E-3</v>
          </cell>
          <cell r="G591">
            <v>1.8517803830905299E-2</v>
          </cell>
        </row>
        <row r="592">
          <cell r="A592" t="str">
            <v>T_C-HY-GSL-S4</v>
          </cell>
          <cell r="B592" t="str">
            <v>VAR_fout</v>
          </cell>
          <cell r="C592" t="str">
            <v>CO2_T</v>
          </cell>
          <cell r="D592">
            <v>6.6962129392165091</v>
          </cell>
          <cell r="E592">
            <v>10.012598298553538</v>
          </cell>
          <cell r="F592">
            <v>9.4564591826432451</v>
          </cell>
          <cell r="G592">
            <v>8.0144469291501252</v>
          </cell>
        </row>
        <row r="593">
          <cell r="A593" t="str">
            <v>T_C-HY-GSL-S4</v>
          </cell>
          <cell r="B593" t="str">
            <v>VAR_fout</v>
          </cell>
          <cell r="C593" t="str">
            <v>TPCAR</v>
          </cell>
          <cell r="D593">
            <v>0.10393449100591447</v>
          </cell>
          <cell r="E593">
            <v>0.18008554391875009</v>
          </cell>
          <cell r="F593">
            <v>0.17199814091300086</v>
          </cell>
          <cell r="G593">
            <v>0.14503055671556919</v>
          </cell>
        </row>
        <row r="594">
          <cell r="A594" t="str">
            <v>T_C-HY-GSL-S4</v>
          </cell>
          <cell r="B594" t="str">
            <v>VAR_fin</v>
          </cell>
          <cell r="C594" t="str">
            <v>TGSL</v>
          </cell>
          <cell r="D594">
            <v>9.073459267231046E-2</v>
          </cell>
          <cell r="E594">
            <v>0.13567206366603732</v>
          </cell>
          <cell r="F594">
            <v>0.12813630328784942</v>
          </cell>
          <cell r="G594">
            <v>0.10859684185840275</v>
          </cell>
        </row>
        <row r="595">
          <cell r="A595" t="str">
            <v>T_C-HY-GSL-S4</v>
          </cell>
          <cell r="B595" t="str">
            <v>VAR_ncap</v>
          </cell>
          <cell r="C595" t="str">
            <v>-</v>
          </cell>
          <cell r="E595">
            <v>1.09478777829534E-4</v>
          </cell>
          <cell r="F595">
            <v>5.2389171710355301E-5</v>
          </cell>
          <cell r="G595">
            <v>2.3638788287743999E-5</v>
          </cell>
        </row>
        <row r="596">
          <cell r="A596" t="str">
            <v>T_C-HY-GSL-S4</v>
          </cell>
          <cell r="B596" t="str">
            <v>VAR_cap</v>
          </cell>
          <cell r="C596" t="str">
            <v>-</v>
          </cell>
          <cell r="D596">
            <v>8.3203454421641593E-3</v>
          </cell>
          <cell r="E596">
            <v>1.4187206048481629E-2</v>
          </cell>
          <cell r="F596">
            <v>1.3654951929264594E-2</v>
          </cell>
          <cell r="G596">
            <v>1.1441560474640365E-2</v>
          </cell>
        </row>
        <row r="597">
          <cell r="A597" t="str">
            <v>T_C-HY-DSL-S3</v>
          </cell>
          <cell r="B597" t="str">
            <v>VAR_fout</v>
          </cell>
          <cell r="C597" t="str">
            <v>CO2_T</v>
          </cell>
          <cell r="D597">
            <v>2.1225154003399518</v>
          </cell>
          <cell r="E597">
            <v>3.3592805611080854</v>
          </cell>
          <cell r="F597">
            <v>3.2422953989277237</v>
          </cell>
          <cell r="G597">
            <v>2.4433406875387762</v>
          </cell>
        </row>
        <row r="598">
          <cell r="A598" t="str">
            <v>T_C-HY-DSL-S3</v>
          </cell>
          <cell r="B598" t="str">
            <v>VAR_fout</v>
          </cell>
          <cell r="C598" t="str">
            <v>TPCAR</v>
          </cell>
          <cell r="D598">
            <v>2.6075060528892531E-2</v>
          </cell>
          <cell r="E598">
            <v>5.468857634473305E-2</v>
          </cell>
          <cell r="F598">
            <v>5.2602449057227468E-2</v>
          </cell>
          <cell r="G598">
            <v>4.1967970429943741E-2</v>
          </cell>
        </row>
        <row r="599">
          <cell r="A599" t="str">
            <v>T_C-HY-DSL-S3</v>
          </cell>
          <cell r="B599" t="str">
            <v>VAR_fin</v>
          </cell>
          <cell r="C599" t="str">
            <v>TDSL</v>
          </cell>
          <cell r="D599">
            <v>2.895655389276873E-2</v>
          </cell>
          <cell r="E599">
            <v>4.5829202743630108E-2</v>
          </cell>
          <cell r="F599">
            <v>4.4233225087690578E-2</v>
          </cell>
          <cell r="G599">
            <v>3.3333433663557552E-2</v>
          </cell>
        </row>
        <row r="600">
          <cell r="A600" t="str">
            <v>T_C-HY-DSL-S3</v>
          </cell>
          <cell r="B600" t="str">
            <v>VAR_ncap</v>
          </cell>
          <cell r="C600" t="str">
            <v>-</v>
          </cell>
          <cell r="E600">
            <v>9.1903429398297902E-5</v>
          </cell>
          <cell r="F600">
            <v>4.6368181385628103E-5</v>
          </cell>
          <cell r="G600">
            <v>1.5659667518313001E-5</v>
          </cell>
        </row>
        <row r="601">
          <cell r="A601" t="str">
            <v>T_C-HY-DSL-S3</v>
          </cell>
          <cell r="B601" t="str">
            <v>VAR_cap</v>
          </cell>
          <cell r="C601" t="str">
            <v>-</v>
          </cell>
          <cell r="D601">
            <v>1.8563394649370537E-3</v>
          </cell>
          <cell r="E601">
            <v>3.7649919552638412E-3</v>
          </cell>
          <cell r="F601">
            <v>3.6292152080095686E-3</v>
          </cell>
          <cell r="G601">
            <v>2.9003260308088151E-3</v>
          </cell>
        </row>
        <row r="602">
          <cell r="A602" t="str">
            <v>D-T-ELC-Bus_c_S2</v>
          </cell>
          <cell r="B602" t="str">
            <v>VAR_fout</v>
          </cell>
          <cell r="C602" t="str">
            <v>T-ELC-Bus_c_BatSTGin_S2</v>
          </cell>
          <cell r="D602">
            <v>1.6997683018726835E-3</v>
          </cell>
          <cell r="E602">
            <v>3.7232967897719567E-3</v>
          </cell>
          <cell r="F602">
            <v>4.050224799578314E-3</v>
          </cell>
          <cell r="G602">
            <v>0.17744293970593328</v>
          </cell>
        </row>
        <row r="603">
          <cell r="A603" t="str">
            <v>D-T-ELC-Bus_c_S2</v>
          </cell>
          <cell r="B603" t="str">
            <v>VAR_fin</v>
          </cell>
          <cell r="C603" t="str">
            <v>TELC</v>
          </cell>
          <cell r="D603">
            <v>1.6997683018726835E-3</v>
          </cell>
          <cell r="E603">
            <v>3.7232967897719567E-3</v>
          </cell>
          <cell r="F603">
            <v>4.050224799578314E-3</v>
          </cell>
          <cell r="G603">
            <v>0.17744293970593328</v>
          </cell>
        </row>
        <row r="604">
          <cell r="A604" t="str">
            <v>D-T-ELC-Bus_c_S2</v>
          </cell>
          <cell r="B604" t="str">
            <v>VAR_ncap</v>
          </cell>
          <cell r="C604" t="str">
            <v>-</v>
          </cell>
          <cell r="D604">
            <v>1.9749425488606401E-4</v>
          </cell>
          <cell r="E604">
            <v>2.3171601042202601E-4</v>
          </cell>
          <cell r="F604">
            <v>8.1257417020250497E-5</v>
          </cell>
          <cell r="G604">
            <v>2.21410396453257E-2</v>
          </cell>
        </row>
        <row r="605">
          <cell r="A605" t="str">
            <v>D-T-ELC-Bus_c_S2</v>
          </cell>
          <cell r="B605" t="str">
            <v>VAR_cap</v>
          </cell>
          <cell r="C605" t="str">
            <v>-</v>
          </cell>
          <cell r="D605">
            <v>1.9749425488606401E-4</v>
          </cell>
          <cell r="E605">
            <v>4.2921026530809002E-4</v>
          </cell>
          <cell r="F605">
            <v>5.1046768232834001E-4</v>
          </cell>
          <cell r="G605">
            <v>2.2567817666289298E-2</v>
          </cell>
        </row>
        <row r="606">
          <cell r="A606" t="str">
            <v>T_C-HY-DSL-S4</v>
          </cell>
          <cell r="B606" t="str">
            <v>VAR_fout</v>
          </cell>
          <cell r="C606" t="str">
            <v>CO2_T</v>
          </cell>
          <cell r="D606">
            <v>2.5798614953937955</v>
          </cell>
          <cell r="E606">
            <v>5.2365045948888804</v>
          </cell>
          <cell r="F606">
            <v>4.9906075463778752</v>
          </cell>
          <cell r="G606">
            <v>4.1085348903875252</v>
          </cell>
        </row>
        <row r="607">
          <cell r="A607" t="str">
            <v>T_C-HY-DSL-S4</v>
          </cell>
          <cell r="B607" t="str">
            <v>VAR_fout</v>
          </cell>
          <cell r="C607" t="str">
            <v>TPCAR</v>
          </cell>
          <cell r="D607">
            <v>4.7366905155050064E-2</v>
          </cell>
          <cell r="E607">
            <v>0.11276355450378266</v>
          </cell>
          <cell r="F607">
            <v>0.10796630589338041</v>
          </cell>
          <cell r="G607">
            <v>9.0655012146792849E-2</v>
          </cell>
        </row>
        <row r="608">
          <cell r="A608" t="str">
            <v>T_C-HY-DSL-S4</v>
          </cell>
          <cell r="B608" t="str">
            <v>VAR_fin</v>
          </cell>
          <cell r="C608" t="str">
            <v>TDSL</v>
          </cell>
          <cell r="D608">
            <v>3.5195927631566155E-2</v>
          </cell>
          <cell r="E608">
            <v>7.1439353272699777E-2</v>
          </cell>
          <cell r="F608">
            <v>6.8084686853722765E-2</v>
          </cell>
          <cell r="G608">
            <v>5.6050953484140693E-2</v>
          </cell>
        </row>
        <row r="609">
          <cell r="A609" t="str">
            <v>T_C-HY-DSL-S4</v>
          </cell>
          <cell r="B609" t="str">
            <v>VAR_ncap</v>
          </cell>
          <cell r="C609" t="str">
            <v>-</v>
          </cell>
          <cell r="E609">
            <v>1.1594125858900001E-4</v>
          </cell>
          <cell r="F609">
            <v>5.3217055382206703E-5</v>
          </cell>
          <cell r="G609">
            <v>1.9612254074052698E-5</v>
          </cell>
        </row>
        <row r="610">
          <cell r="A610" t="str">
            <v>T_C-HY-DSL-S4</v>
          </cell>
          <cell r="B610" t="str">
            <v>VAR_cap</v>
          </cell>
          <cell r="C610" t="str">
            <v>-</v>
          </cell>
          <cell r="D610">
            <v>3.7728291030253084E-3</v>
          </cell>
          <cell r="E610">
            <v>8.8842171303095078E-3</v>
          </cell>
          <cell r="F610">
            <v>8.5220337940843469E-3</v>
          </cell>
          <cell r="G610">
            <v>7.1589983641814157E-3</v>
          </cell>
        </row>
        <row r="611">
          <cell r="A611" t="str">
            <v>D-T-ELC-Bus_c_S3</v>
          </cell>
          <cell r="B611" t="str">
            <v>VAR_fout</v>
          </cell>
          <cell r="C611" t="str">
            <v>T-ELC-Bus_c_BatSTGin_S3</v>
          </cell>
          <cell r="D611">
            <v>3.9366352065828687E-4</v>
          </cell>
          <cell r="E611">
            <v>6.6110048280220476E-4</v>
          </cell>
          <cell r="F611">
            <v>8.1578634779741086E-4</v>
          </cell>
          <cell r="G611">
            <v>5.7216658249593225E-2</v>
          </cell>
        </row>
        <row r="612">
          <cell r="A612" t="str">
            <v>D-T-ELC-Bus_c_S3</v>
          </cell>
          <cell r="B612" t="str">
            <v>VAR_fin</v>
          </cell>
          <cell r="C612" t="str">
            <v>TELC</v>
          </cell>
          <cell r="D612">
            <v>3.9366352065828687E-4</v>
          </cell>
          <cell r="E612">
            <v>6.6110048280220476E-4</v>
          </cell>
          <cell r="F612">
            <v>8.1578634779741086E-4</v>
          </cell>
          <cell r="G612">
            <v>5.7216658249593225E-2</v>
          </cell>
        </row>
        <row r="613">
          <cell r="A613" t="str">
            <v>D-T-ELC-Bus_c_S3</v>
          </cell>
          <cell r="B613" t="str">
            <v>VAR_ncap</v>
          </cell>
          <cell r="C613" t="str">
            <v>-</v>
          </cell>
          <cell r="D613">
            <v>5.5867013142836597E-5</v>
          </cell>
          <cell r="E613">
            <v>2.3127027854965199E-5</v>
          </cell>
          <cell r="F613">
            <v>1.9957910817910801E-5</v>
          </cell>
          <cell r="G613">
            <v>7.0402122052545301E-3</v>
          </cell>
        </row>
        <row r="614">
          <cell r="A614" t="str">
            <v>D-T-ELC-Bus_c_S3</v>
          </cell>
          <cell r="B614" t="str">
            <v>VAR_cap</v>
          </cell>
          <cell r="C614" t="str">
            <v>-</v>
          </cell>
          <cell r="D614">
            <v>5.5867013142836597E-5</v>
          </cell>
          <cell r="E614">
            <v>7.8994040997801802E-5</v>
          </cell>
          <cell r="F614">
            <v>9.8951951815712599E-5</v>
          </cell>
          <cell r="G614">
            <v>7.0990023134005799E-3</v>
          </cell>
        </row>
        <row r="615">
          <cell r="A615" t="str">
            <v>D-T-ELC-Bus_c_S4</v>
          </cell>
          <cell r="B615" t="str">
            <v>VAR_fout</v>
          </cell>
          <cell r="C615" t="str">
            <v>T-ELC-Bus_c_BatSTGin_S4</v>
          </cell>
          <cell r="D615">
            <v>1.4121579223757303E-6</v>
          </cell>
          <cell r="E615">
            <v>8.8061385536101195E-5</v>
          </cell>
          <cell r="F615">
            <v>1.4458787368971425E-4</v>
          </cell>
          <cell r="G615">
            <v>7.9798867364857127E-5</v>
          </cell>
        </row>
        <row r="616">
          <cell r="A616" t="str">
            <v>D-T-ELC-Bus_c_S4</v>
          </cell>
          <cell r="B616" t="str">
            <v>VAR_fin</v>
          </cell>
          <cell r="C616" t="str">
            <v>TELC</v>
          </cell>
          <cell r="D616">
            <v>1.4121579223757303E-6</v>
          </cell>
          <cell r="E616">
            <v>8.8061385536101195E-5</v>
          </cell>
          <cell r="F616">
            <v>1.4458787368971425E-4</v>
          </cell>
          <cell r="G616">
            <v>7.9798867364857127E-5</v>
          </cell>
        </row>
        <row r="617">
          <cell r="A617" t="str">
            <v>D-T-ELC-Bus_c_S4</v>
          </cell>
          <cell r="B617" t="str">
            <v>VAR_ncap</v>
          </cell>
          <cell r="C617" t="str">
            <v>-</v>
          </cell>
          <cell r="D617">
            <v>1.05800599559597E-5</v>
          </cell>
          <cell r="E617">
            <v>7.0348751849141501E-6</v>
          </cell>
          <cell r="F617">
            <v>3.7138287403456199E-6</v>
          </cell>
          <cell r="G617">
            <v>2.6398091954634102E-6</v>
          </cell>
        </row>
        <row r="618">
          <cell r="A618" t="str">
            <v>D-T-ELC-Bus_c_S4</v>
          </cell>
          <cell r="B618" t="str">
            <v>VAR_cap</v>
          </cell>
          <cell r="C618" t="str">
            <v>-</v>
          </cell>
          <cell r="D618">
            <v>1.05800599559597E-5</v>
          </cell>
          <cell r="E618">
            <v>1.7614935140873901E-5</v>
          </cell>
          <cell r="F618">
            <v>2.1328763881219499E-5</v>
          </cell>
          <cell r="G618">
            <v>9.1183851895249006E-6</v>
          </cell>
        </row>
        <row r="619">
          <cell r="A619" t="str">
            <v>D-TH2O</v>
          </cell>
          <cell r="B619" t="str">
            <v>VAR_fout</v>
          </cell>
          <cell r="C619" t="str">
            <v>TH2O</v>
          </cell>
          <cell r="D619">
            <v>3.4656883188169522E-3</v>
          </cell>
          <cell r="E619">
            <v>3.4683668562836378E-3</v>
          </cell>
          <cell r="F619">
            <v>3.4117538243041909E-3</v>
          </cell>
          <cell r="G619">
            <v>3.3700433226260948E-4</v>
          </cell>
        </row>
        <row r="620">
          <cell r="A620" t="str">
            <v>D-TH2O</v>
          </cell>
          <cell r="B620" t="str">
            <v>VAR_fin</v>
          </cell>
          <cell r="C620" t="str">
            <v>H2</v>
          </cell>
          <cell r="D620">
            <v>3.4656883188169522E-3</v>
          </cell>
          <cell r="E620">
            <v>3.4683668562836378E-3</v>
          </cell>
          <cell r="F620">
            <v>3.4117538243041909E-3</v>
          </cell>
          <cell r="G620">
            <v>3.3700433226260948E-4</v>
          </cell>
        </row>
        <row r="621">
          <cell r="A621" t="str">
            <v>D-TH2O</v>
          </cell>
          <cell r="B621" t="str">
            <v>VAR_ncap</v>
          </cell>
          <cell r="C621" t="str">
            <v>-</v>
          </cell>
          <cell r="D621">
            <v>6.6361947948766502E-4</v>
          </cell>
          <cell r="E621">
            <v>1.76604484353489E-5</v>
          </cell>
          <cell r="F621">
            <v>2.8286018767282799E-7</v>
          </cell>
          <cell r="G621">
            <v>1.45304517654443E-7</v>
          </cell>
        </row>
        <row r="622">
          <cell r="A622" t="str">
            <v>D-TH2O</v>
          </cell>
          <cell r="B622" t="str">
            <v>VAR_cap</v>
          </cell>
          <cell r="C622" t="str">
            <v>-</v>
          </cell>
          <cell r="D622">
            <v>6.6361947948766502E-4</v>
          </cell>
          <cell r="E622">
            <v>6.8127992792301395E-4</v>
          </cell>
          <cell r="F622">
            <v>6.8156278811068699E-4</v>
          </cell>
          <cell r="G622">
            <v>6.8170809262834103E-4</v>
          </cell>
        </row>
        <row r="623">
          <cell r="A623" t="str">
            <v>TFHGV-HYBDSL</v>
          </cell>
          <cell r="B623" t="str">
            <v>VAR_fout</v>
          </cell>
          <cell r="C623" t="str">
            <v>CO2_T</v>
          </cell>
          <cell r="E623">
            <v>152.50322318096499</v>
          </cell>
          <cell r="F623">
            <v>329.48795304325199</v>
          </cell>
          <cell r="G623">
            <v>819.11760115704544</v>
          </cell>
        </row>
        <row r="624">
          <cell r="A624" t="str">
            <v>TFHGV-HYBDSL</v>
          </cell>
          <cell r="B624" t="str">
            <v>VAR_fout</v>
          </cell>
          <cell r="C624" t="str">
            <v>TFHGV</v>
          </cell>
          <cell r="E624">
            <v>0.34009852425650411</v>
          </cell>
          <cell r="F624">
            <v>0.73479343093840166</v>
          </cell>
          <cell r="G624">
            <v>1.8267199967010901</v>
          </cell>
        </row>
        <row r="625">
          <cell r="A625" t="str">
            <v>TFHGV-HYBDSL</v>
          </cell>
          <cell r="B625" t="str">
            <v>VAR_fin</v>
          </cell>
          <cell r="C625" t="str">
            <v>TDSL</v>
          </cell>
          <cell r="E625">
            <v>2.08053510478807</v>
          </cell>
          <cell r="F625">
            <v>4.4950607509311364</v>
          </cell>
          <cell r="G625">
            <v>11.174864954393522</v>
          </cell>
        </row>
        <row r="626">
          <cell r="A626" t="str">
            <v>TFHGV-HYBDSL</v>
          </cell>
          <cell r="B626" t="str">
            <v>VAR_ncap</v>
          </cell>
          <cell r="C626" t="str">
            <v>-</v>
          </cell>
          <cell r="E626">
            <v>6.3980856916813697E-3</v>
          </cell>
          <cell r="F626">
            <v>7.4257310479597504E-3</v>
          </cell>
          <cell r="G626">
            <v>2.6989776226741199E-2</v>
          </cell>
        </row>
        <row r="627">
          <cell r="A627" t="str">
            <v>TFHGV-HYBDSL</v>
          </cell>
          <cell r="B627" t="str">
            <v>VAR_cap</v>
          </cell>
          <cell r="C627" t="str">
            <v>-</v>
          </cell>
          <cell r="E627">
            <v>6.3980856916813697E-3</v>
          </cell>
          <cell r="F627">
            <v>1.3823816739641099E-2</v>
          </cell>
          <cell r="G627">
            <v>3.4365365606906603E-2</v>
          </cell>
        </row>
        <row r="628">
          <cell r="A628" t="str">
            <v>D-TKER</v>
          </cell>
          <cell r="B628" t="str">
            <v>VAR_fout</v>
          </cell>
          <cell r="C628" t="str">
            <v>CO2</v>
          </cell>
          <cell r="D628">
            <v>80.648080297731497</v>
          </cell>
          <cell r="E628">
            <v>102.293413590914</v>
          </cell>
          <cell r="F628">
            <v>134.52678506469601</v>
          </cell>
          <cell r="G628">
            <v>188.06383810055701</v>
          </cell>
        </row>
        <row r="629">
          <cell r="A629" t="str">
            <v>D-TKER</v>
          </cell>
          <cell r="B629" t="str">
            <v>VAR_fout</v>
          </cell>
          <cell r="C629" t="str">
            <v>TKER</v>
          </cell>
          <cell r="D629">
            <v>1.0915229074645301</v>
          </cell>
          <cell r="E629">
            <v>1.3844793801045701</v>
          </cell>
          <cell r="F629">
            <v>1.82073853492337</v>
          </cell>
          <cell r="G629">
            <v>2.54533011318602</v>
          </cell>
        </row>
        <row r="630">
          <cell r="A630" t="str">
            <v>D-TKER</v>
          </cell>
          <cell r="B630" t="str">
            <v>VAR_fin</v>
          </cell>
          <cell r="C630" t="str">
            <v>KER</v>
          </cell>
          <cell r="D630">
            <v>1.1078033007930141</v>
          </cell>
          <cell r="E630">
            <v>1.4051293075674922</v>
          </cell>
          <cell r="F630">
            <v>1.8478953992403317</v>
          </cell>
          <cell r="G630">
            <v>2.583294479403254</v>
          </cell>
        </row>
        <row r="631">
          <cell r="A631" t="str">
            <v>T_B_u-BEVELC-S1</v>
          </cell>
          <cell r="B631" t="str">
            <v>VAR_fout</v>
          </cell>
          <cell r="C631" t="str">
            <v>TPBSu</v>
          </cell>
          <cell r="D631">
            <v>1.3197684209572971E-7</v>
          </cell>
          <cell r="E631">
            <v>1.332836924163008E-2</v>
          </cell>
          <cell r="F631">
            <v>1.4061860845834731E-2</v>
          </cell>
          <cell r="G631">
            <v>0.1058926219596722</v>
          </cell>
        </row>
        <row r="632">
          <cell r="A632" t="str">
            <v>T_B_u-BEVELC-S1</v>
          </cell>
          <cell r="B632" t="str">
            <v>VAR_fin</v>
          </cell>
          <cell r="C632" t="str">
            <v>T-ELC-Bus_u_BatSTGout_S1</v>
          </cell>
          <cell r="D632">
            <v>3.4850595723558055E-7</v>
          </cell>
          <cell r="E632">
            <v>3.3964180325392078E-2</v>
          </cell>
          <cell r="F632">
            <v>3.57389518411005E-2</v>
          </cell>
          <cell r="G632">
            <v>0.23675466235406481</v>
          </cell>
        </row>
        <row r="633">
          <cell r="A633" t="str">
            <v>T_B_u-BEVELC-S1</v>
          </cell>
          <cell r="B633" t="str">
            <v>VAR_ncap</v>
          </cell>
          <cell r="C633" t="str">
            <v>-</v>
          </cell>
          <cell r="E633">
            <v>2.5148883428798599E-4</v>
          </cell>
          <cell r="F633">
            <v>1.4270141026650301E-5</v>
          </cell>
          <cell r="G633">
            <v>1.9933739483514699E-3</v>
          </cell>
        </row>
        <row r="634">
          <cell r="A634" t="str">
            <v>T_B_u-BEVELC-S1</v>
          </cell>
          <cell r="B634" t="str">
            <v>VAR_cap</v>
          </cell>
          <cell r="C634" t="str">
            <v>-</v>
          </cell>
          <cell r="D634">
            <v>3.02390998593531E-8</v>
          </cell>
          <cell r="E634">
            <v>2.5153032514593256E-4</v>
          </cell>
          <cell r="F634">
            <v>2.6572997918950729E-4</v>
          </cell>
          <cell r="G634">
            <v>1.9975926102759542E-3</v>
          </cell>
        </row>
        <row r="635">
          <cell r="A635" t="str">
            <v>TPSHPH2OEXT</v>
          </cell>
          <cell r="B635" t="str">
            <v>VAR_fout</v>
          </cell>
          <cell r="C635" t="str">
            <v>TPSHP</v>
          </cell>
        </row>
        <row r="636">
          <cell r="A636" t="str">
            <v>TPSHPH2OEXT</v>
          </cell>
          <cell r="B636" t="str">
            <v>VAR_fin</v>
          </cell>
          <cell r="C636" t="str">
            <v>TH2O</v>
          </cell>
        </row>
        <row r="637">
          <cell r="A637" t="str">
            <v>TPSHPH2OEXT</v>
          </cell>
          <cell r="B637" t="str">
            <v>VAR_ncap</v>
          </cell>
          <cell r="C637" t="str">
            <v>-</v>
          </cell>
        </row>
        <row r="638">
          <cell r="A638" t="str">
            <v>TPSHPH2OEXT</v>
          </cell>
          <cell r="B638" t="str">
            <v>VAR_cap</v>
          </cell>
          <cell r="C638" t="str">
            <v>-</v>
          </cell>
        </row>
        <row r="639">
          <cell r="A639" t="str">
            <v>T_B_u-BEVELC-S2</v>
          </cell>
          <cell r="B639" t="str">
            <v>VAR_fout</v>
          </cell>
          <cell r="C639" t="str">
            <v>TPBSu</v>
          </cell>
          <cell r="D639">
            <v>3.929530180929717E-4</v>
          </cell>
          <cell r="E639">
            <v>8.6854129548851096E-4</v>
          </cell>
          <cell r="F639">
            <v>1.4797116081732037E-3</v>
          </cell>
          <cell r="G639">
            <v>3.9649966890555513E-2</v>
          </cell>
        </row>
        <row r="640">
          <cell r="A640" t="str">
            <v>T_B_u-BEVELC-S2</v>
          </cell>
          <cell r="B640" t="str">
            <v>VAR_fin</v>
          </cell>
          <cell r="C640" t="str">
            <v>T-ELC-Bus_u_BatSTGout_S2</v>
          </cell>
          <cell r="D640">
            <v>1.427981726200913E-3</v>
          </cell>
          <cell r="E640">
            <v>3.1090572722329958E-3</v>
          </cell>
          <cell r="F640">
            <v>5.1471097568466717E-3</v>
          </cell>
          <cell r="G640">
            <v>0.12251672640104487</v>
          </cell>
        </row>
        <row r="641">
          <cell r="A641" t="str">
            <v>T_B_u-BEVELC-S2</v>
          </cell>
          <cell r="B641" t="str">
            <v>VAR_ncap</v>
          </cell>
          <cell r="C641" t="str">
            <v>-</v>
          </cell>
          <cell r="E641">
            <v>5.6908672199783703E-6</v>
          </cell>
          <cell r="F641">
            <v>1.16870561057941E-5</v>
          </cell>
          <cell r="G641">
            <v>7.3220847925514201E-4</v>
          </cell>
        </row>
        <row r="642">
          <cell r="A642" t="str">
            <v>T_B_u-BEVELC-S2</v>
          </cell>
          <cell r="B642" t="str">
            <v>VAR_cap</v>
          </cell>
          <cell r="C642" t="str">
            <v>-</v>
          </cell>
          <cell r="D642">
            <v>7.8621284951634234E-6</v>
          </cell>
          <cell r="E642">
            <v>1.6561472001975569E-5</v>
          </cell>
          <cell r="F642">
            <v>2.8248528107769702E-5</v>
          </cell>
          <cell r="G642">
            <v>7.4896879553625875E-4</v>
          </cell>
        </row>
        <row r="643">
          <cell r="A643" t="str">
            <v>TFHGV-ICEDSL</v>
          </cell>
          <cell r="B643" t="str">
            <v>VAR_fout</v>
          </cell>
          <cell r="C643" t="str">
            <v>CO2_T</v>
          </cell>
          <cell r="D643">
            <v>381.101895527068</v>
          </cell>
          <cell r="E643">
            <v>352.65695920210817</v>
          </cell>
          <cell r="F643">
            <v>318.42860919225222</v>
          </cell>
          <cell r="G643">
            <v>32.319919061992408</v>
          </cell>
        </row>
        <row r="644">
          <cell r="A644" t="str">
            <v>TFHGV-ICEDSL</v>
          </cell>
          <cell r="B644" t="str">
            <v>VAR_fout</v>
          </cell>
          <cell r="C644" t="str">
            <v>TFHGV</v>
          </cell>
          <cell r="D644">
            <v>0.61716418222627045</v>
          </cell>
          <cell r="E644">
            <v>0.57109987220442338</v>
          </cell>
          <cell r="F644">
            <v>0.51566978410797859</v>
          </cell>
          <cell r="G644">
            <v>5.2339536096841728E-2</v>
          </cell>
        </row>
        <row r="645">
          <cell r="A645" t="str">
            <v>TFHGV-ICEDSL</v>
          </cell>
          <cell r="B645" t="str">
            <v>VAR_fin</v>
          </cell>
          <cell r="C645" t="str">
            <v>TDSL</v>
          </cell>
          <cell r="D645">
            <v>5.1992073059627311</v>
          </cell>
          <cell r="E645">
            <v>4.8111454188555083</v>
          </cell>
          <cell r="F645">
            <v>4.3441829357742519</v>
          </cell>
          <cell r="G645">
            <v>0.44092659020453545</v>
          </cell>
        </row>
        <row r="646">
          <cell r="A646" t="str">
            <v>TFHGV-ICEDSL</v>
          </cell>
          <cell r="B646" t="str">
            <v>VAR_ncap</v>
          </cell>
          <cell r="C646" t="str">
            <v>-</v>
          </cell>
          <cell r="E646">
            <v>1.26535752872646E-6</v>
          </cell>
          <cell r="F646">
            <v>2.8707088170803102E-6</v>
          </cell>
          <cell r="G646">
            <v>3.3062382476994401E-6</v>
          </cell>
        </row>
        <row r="647">
          <cell r="A647" t="str">
            <v>TFHGV-ICEDSL</v>
          </cell>
          <cell r="B647" t="str">
            <v>VAR_cap</v>
          </cell>
          <cell r="C647" t="str">
            <v>-</v>
          </cell>
          <cell r="D647">
            <v>1.161301222672719E-2</v>
          </cell>
          <cell r="E647">
            <v>1.0744261196919095E-2</v>
          </cell>
          <cell r="F647">
            <v>9.7037316132753872E-3</v>
          </cell>
          <cell r="G647">
            <v>9.8566422862898578E-4</v>
          </cell>
        </row>
        <row r="648">
          <cell r="A648" t="str">
            <v>D-T-ELC-Bus_u_S1</v>
          </cell>
          <cell r="B648" t="str">
            <v>VAR_fout</v>
          </cell>
          <cell r="C648" t="str">
            <v>T-ELC-Bus_u_BatSTGin_S1</v>
          </cell>
          <cell r="D648">
            <v>6.462859850035806E-6</v>
          </cell>
          <cell r="E648">
            <v>3.3973852324407319E-2</v>
          </cell>
          <cell r="F648">
            <v>3.5749885443872795E-2</v>
          </cell>
          <cell r="G648">
            <v>0.23695308280094105</v>
          </cell>
        </row>
        <row r="649">
          <cell r="A649" t="str">
            <v>D-T-ELC-Bus_u_S1</v>
          </cell>
          <cell r="B649" t="str">
            <v>VAR_fin</v>
          </cell>
          <cell r="C649" t="str">
            <v>TELC</v>
          </cell>
          <cell r="D649">
            <v>6.462859850035806E-6</v>
          </cell>
          <cell r="E649">
            <v>3.3973852324407319E-2</v>
          </cell>
          <cell r="F649">
            <v>3.5749885443872795E-2</v>
          </cell>
          <cell r="G649">
            <v>0.23695308280094105</v>
          </cell>
        </row>
        <row r="650">
          <cell r="A650" t="str">
            <v>D-T-ELC-Bus_u_S1</v>
          </cell>
          <cell r="B650" t="str">
            <v>VAR_ncap</v>
          </cell>
          <cell r="C650" t="str">
            <v>-</v>
          </cell>
          <cell r="D650">
            <v>6.5242670681721305E-4</v>
          </cell>
          <cell r="E650">
            <v>2.9506961377062202E-3</v>
          </cell>
          <cell r="F650">
            <v>3.5988851314837502E-4</v>
          </cell>
          <cell r="G650">
            <v>2.16520414928742E-2</v>
          </cell>
        </row>
        <row r="651">
          <cell r="A651" t="str">
            <v>D-T-ELC-Bus_u_S1</v>
          </cell>
          <cell r="B651" t="str">
            <v>VAR_cap</v>
          </cell>
          <cell r="C651" t="str">
            <v>-</v>
          </cell>
          <cell r="D651">
            <v>6.5242670681721305E-4</v>
          </cell>
          <cell r="E651">
            <v>3.6031228445234302E-3</v>
          </cell>
          <cell r="F651">
            <v>3.9630113576718E-3</v>
          </cell>
          <cell r="G651">
            <v>2.5049050899423001E-2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CO2_T</v>
          </cell>
          <cell r="D652">
            <v>1.2488638227994E-3</v>
          </cell>
          <cell r="E652">
            <v>0.1059594037035681</v>
          </cell>
          <cell r="F652">
            <v>0.1228417481292068</v>
          </cell>
          <cell r="G652">
            <v>0.16567369332020554</v>
          </cell>
        </row>
        <row r="653">
          <cell r="A653" t="str">
            <v>T-Plg-DSL-mix_S1</v>
          </cell>
          <cell r="B653" t="str">
            <v>VAR_fout</v>
          </cell>
          <cell r="C653" t="str">
            <v>T-PEVmix-ELC_DSL_S1</v>
          </cell>
          <cell r="D653">
            <v>1.2410361825887827E-5</v>
          </cell>
          <cell r="E653">
            <v>1.0529527037375149E-3</v>
          </cell>
          <cell r="F653">
            <v>1.2207179948497166E-3</v>
          </cell>
          <cell r="G653">
            <v>1.6463528221404666E-3</v>
          </cell>
        </row>
        <row r="654">
          <cell r="A654" t="str">
            <v>T-Plg-DSL-mix_S1</v>
          </cell>
          <cell r="B654" t="str">
            <v>VAR_fin</v>
          </cell>
          <cell r="C654" t="str">
            <v>TDSL</v>
          </cell>
          <cell r="D654">
            <v>1.7037705631642581E-5</v>
          </cell>
          <cell r="E654">
            <v>1.4455580314265762E-3</v>
          </cell>
          <cell r="F654">
            <v>1.675876509266124E-3</v>
          </cell>
          <cell r="G654">
            <v>2.260214097137865E-3</v>
          </cell>
        </row>
        <row r="655">
          <cell r="A655" t="str">
            <v>T_B_u-BEVELC-S3</v>
          </cell>
          <cell r="B655" t="str">
            <v>VAR_fout</v>
          </cell>
          <cell r="C655" t="str">
            <v>TPBSu</v>
          </cell>
          <cell r="D655">
            <v>1.4217360956503993E-3</v>
          </cell>
          <cell r="E655">
            <v>2.6321541967025881E-3</v>
          </cell>
          <cell r="F655">
            <v>3.2058372803314521E-3</v>
          </cell>
          <cell r="G655">
            <v>0.17328044861703984</v>
          </cell>
        </row>
        <row r="656">
          <cell r="A656" t="str">
            <v>T_B_u-BEVELC-S3</v>
          </cell>
          <cell r="B656" t="str">
            <v>VAR_fin</v>
          </cell>
          <cell r="C656" t="str">
            <v>T-ELC-Bus_u_BatSTGout_S3</v>
          </cell>
          <cell r="D656">
            <v>7.7703062364947286E-3</v>
          </cell>
          <cell r="E656">
            <v>1.4297122895682421E-2</v>
          </cell>
          <cell r="F656">
            <v>1.7172531422440868E-2</v>
          </cell>
          <cell r="G656">
            <v>0.80291645575451465</v>
          </cell>
        </row>
        <row r="657">
          <cell r="A657" t="str">
            <v>T_B_u-BEVELC-S3</v>
          </cell>
          <cell r="B657" t="str">
            <v>VAR_ncap</v>
          </cell>
          <cell r="C657" t="str">
            <v>-</v>
          </cell>
          <cell r="E657">
            <v>2.2689462883597198E-6</v>
          </cell>
          <cell r="F657">
            <v>1.0877599475714099E-5</v>
          </cell>
          <cell r="G657">
            <v>3.4885118193923401E-3</v>
          </cell>
        </row>
        <row r="658">
          <cell r="A658" t="str">
            <v>T_B_u-BEVELC-S3</v>
          </cell>
          <cell r="B658" t="str">
            <v>VAR_cap</v>
          </cell>
          <cell r="C658" t="str">
            <v>-</v>
          </cell>
          <cell r="D658">
            <v>3.4613667939928819E-5</v>
          </cell>
          <cell r="E658">
            <v>4.9775978637164121E-5</v>
          </cell>
          <cell r="F658">
            <v>6.0653578112878197E-5</v>
          </cell>
          <cell r="G658">
            <v>3.5178373095104266E-3</v>
          </cell>
        </row>
        <row r="659">
          <cell r="A659" t="str">
            <v>D-T-ELC-Bus_u_S2</v>
          </cell>
          <cell r="B659" t="str">
            <v>VAR_fout</v>
          </cell>
          <cell r="C659" t="str">
            <v>T-ELC-Bus_u_BatSTGin_S2</v>
          </cell>
          <cell r="D659">
            <v>1.4212335161108538E-3</v>
          </cell>
          <cell r="E659">
            <v>3.1093116561274441E-3</v>
          </cell>
          <cell r="F659">
            <v>5.1483263705012841E-3</v>
          </cell>
          <cell r="G659">
            <v>0.12267053799536272</v>
          </cell>
        </row>
        <row r="660">
          <cell r="A660" t="str">
            <v>D-T-ELC-Bus_u_S2</v>
          </cell>
          <cell r="B660" t="str">
            <v>VAR_fin</v>
          </cell>
          <cell r="C660" t="str">
            <v>TELC</v>
          </cell>
          <cell r="D660">
            <v>1.4212335161108538E-3</v>
          </cell>
          <cell r="E660">
            <v>3.1093116561274441E-3</v>
          </cell>
          <cell r="F660">
            <v>5.1483263705012841E-3</v>
          </cell>
          <cell r="G660">
            <v>0.12267053799536272</v>
          </cell>
        </row>
        <row r="661">
          <cell r="A661" t="str">
            <v>D-T-ELC-Bus_u_S2</v>
          </cell>
          <cell r="B661" t="str">
            <v>VAR_ncap</v>
          </cell>
          <cell r="C661" t="str">
            <v>-</v>
          </cell>
          <cell r="D661">
            <v>2.05338129372878E-4</v>
          </cell>
          <cell r="E661">
            <v>1.9810921363448101E-4</v>
          </cell>
          <cell r="F661">
            <v>3.9443211502208399E-4</v>
          </cell>
          <cell r="G661">
            <v>1.22584693904266E-2</v>
          </cell>
        </row>
        <row r="662">
          <cell r="A662" t="str">
            <v>D-T-ELC-Bus_u_S2</v>
          </cell>
          <cell r="B662" t="str">
            <v>VAR_cap</v>
          </cell>
          <cell r="C662" t="str">
            <v>-</v>
          </cell>
          <cell r="D662">
            <v>2.05338129372878E-4</v>
          </cell>
          <cell r="E662">
            <v>4.0344734300735898E-4</v>
          </cell>
          <cell r="F662">
            <v>7.9787945802944297E-4</v>
          </cell>
          <cell r="G662">
            <v>1.2975007397061601E-2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CO2_T</v>
          </cell>
          <cell r="D663">
            <v>5.0903831892904297E-4</v>
          </cell>
          <cell r="E663">
            <v>8.7801398603755201E-2</v>
          </cell>
          <cell r="F663">
            <v>0.23940763824601019</v>
          </cell>
          <cell r="G663">
            <v>1.5361437536794518</v>
          </cell>
        </row>
        <row r="664">
          <cell r="A664" t="str">
            <v>T-Plg-DSL-mix_S2</v>
          </cell>
          <cell r="B664" t="str">
            <v>VAR_fout</v>
          </cell>
          <cell r="C664" t="str">
            <v>T-PEVmix-ELC_DSL_S2</v>
          </cell>
          <cell r="D664">
            <v>4.1356693756852942E-6</v>
          </cell>
          <cell r="E664">
            <v>7.1334031613149405E-4</v>
          </cell>
          <cell r="F664">
            <v>1.945061503193402E-3</v>
          </cell>
          <cell r="G664">
            <v>1.248036236664518E-2</v>
          </cell>
        </row>
        <row r="665">
          <cell r="A665" t="str">
            <v>T-Plg-DSL-mix_S2</v>
          </cell>
          <cell r="B665" t="str">
            <v>VAR_fin</v>
          </cell>
          <cell r="C665" t="str">
            <v>TDSL</v>
          </cell>
          <cell r="D665">
            <v>6.9445882527836797E-6</v>
          </cell>
          <cell r="E665">
            <v>1.1978362701740139E-3</v>
          </cell>
          <cell r="F665">
            <v>3.2661342189087349E-3</v>
          </cell>
          <cell r="G665">
            <v>2.0956940705040256E-2</v>
          </cell>
        </row>
        <row r="666">
          <cell r="A666" t="str">
            <v>T_B_u-BEVELC-S4</v>
          </cell>
          <cell r="B666" t="str">
            <v>VAR_fout</v>
          </cell>
          <cell r="C666" t="str">
            <v>TPBSu</v>
          </cell>
          <cell r="D666">
            <v>2.7114732758586255E-5</v>
          </cell>
          <cell r="E666">
            <v>4.9826498503478609E-5</v>
          </cell>
          <cell r="F666">
            <v>7.3268174388071451E-5</v>
          </cell>
          <cell r="G666">
            <v>3.9653370595533885E-3</v>
          </cell>
        </row>
        <row r="667">
          <cell r="A667" t="str">
            <v>T_B_u-BEVELC-S4</v>
          </cell>
          <cell r="B667" t="str">
            <v>VAR_fin</v>
          </cell>
          <cell r="C667" t="str">
            <v>T-ELC-Bus_u_BatSTGout_S4</v>
          </cell>
          <cell r="D667">
            <v>2.222753989816621E-4</v>
          </cell>
          <cell r="E667">
            <v>4.0188072716023683E-4</v>
          </cell>
          <cell r="F667">
            <v>5.7512217890106959E-4</v>
          </cell>
          <cell r="G667">
            <v>2.7513721187868812E-2</v>
          </cell>
        </row>
        <row r="668">
          <cell r="A668" t="str">
            <v>T_B_u-BEVELC-S4</v>
          </cell>
          <cell r="B668" t="str">
            <v>VAR_ncap</v>
          </cell>
          <cell r="C668" t="str">
            <v>-</v>
          </cell>
          <cell r="E668">
            <v>3.5795074510387599E-7</v>
          </cell>
          <cell r="F668">
            <v>5.13635336398165E-7</v>
          </cell>
          <cell r="G668">
            <v>4.3304438554667802E-4</v>
          </cell>
        </row>
        <row r="669">
          <cell r="A669" t="str">
            <v>T_B_u-BEVELC-S4</v>
          </cell>
          <cell r="B669" t="str">
            <v>VAR_cap</v>
          </cell>
          <cell r="C669" t="str">
            <v>-</v>
          </cell>
          <cell r="D669">
            <v>4.2334739803094299E-7</v>
          </cell>
          <cell r="E669">
            <v>9.0903929510229175E-7</v>
          </cell>
          <cell r="F669">
            <v>1.343953399976884E-6</v>
          </cell>
          <cell r="G669">
            <v>4.3360185191442468E-4</v>
          </cell>
        </row>
        <row r="670">
          <cell r="A670" t="str">
            <v>D-TBDS1</v>
          </cell>
          <cell r="B670" t="str">
            <v>VAR_fout</v>
          </cell>
          <cell r="C670" t="str">
            <v>TDSL</v>
          </cell>
          <cell r="D670">
            <v>2.972470664767791</v>
          </cell>
          <cell r="E670">
            <v>2.9710197577551667</v>
          </cell>
          <cell r="F670">
            <v>4.4361801846550222</v>
          </cell>
          <cell r="G670">
            <v>3.0680181693663107</v>
          </cell>
        </row>
        <row r="671">
          <cell r="A671" t="str">
            <v>D-TBDS1</v>
          </cell>
          <cell r="B671" t="str">
            <v>VAR_fout</v>
          </cell>
          <cell r="C671" t="str">
            <v>TKER</v>
          </cell>
          <cell r="D671">
            <v>1.5598627499279101E-3</v>
          </cell>
          <cell r="E671">
            <v>8.6437936975150299E-5</v>
          </cell>
          <cell r="F671">
            <v>1.04857134470043E-3</v>
          </cell>
          <cell r="G671">
            <v>5.1621601404128001E-3</v>
          </cell>
        </row>
        <row r="672">
          <cell r="A672" t="str">
            <v>D-TBDS1</v>
          </cell>
          <cell r="B672" t="str">
            <v>VAR_fin</v>
          </cell>
          <cell r="C672" t="str">
            <v>BDS</v>
          </cell>
          <cell r="D672">
            <v>3.0183889609976804</v>
          </cell>
          <cell r="E672">
            <v>3.0154191227958123</v>
          </cell>
          <cell r="F672">
            <v>4.5034113610024207</v>
          </cell>
          <cell r="G672">
            <v>3.1190172398501068</v>
          </cell>
        </row>
        <row r="673">
          <cell r="A673" t="str">
            <v>D-T-ELC-Bus_u_S3</v>
          </cell>
          <cell r="B673" t="str">
            <v>VAR_fout</v>
          </cell>
          <cell r="C673" t="str">
            <v>T-ELC-Bus_u_BatSTGin_S3</v>
          </cell>
          <cell r="D673">
            <v>7.7447802806288957E-3</v>
          </cell>
          <cell r="E673">
            <v>1.4287962575888822E-2</v>
          </cell>
          <cell r="F673">
            <v>1.7163789343410746E-2</v>
          </cell>
          <cell r="G673">
            <v>0.80306256305176027</v>
          </cell>
        </row>
        <row r="674">
          <cell r="A674" t="str">
            <v>D-T-ELC-Bus_u_S3</v>
          </cell>
          <cell r="B674" t="str">
            <v>VAR_fin</v>
          </cell>
          <cell r="C674" t="str">
            <v>TELC</v>
          </cell>
          <cell r="D674">
            <v>7.7447802806288957E-3</v>
          </cell>
          <cell r="E674">
            <v>1.4287962575888822E-2</v>
          </cell>
          <cell r="F674">
            <v>1.7163789343410746E-2</v>
          </cell>
          <cell r="G674">
            <v>0.80306256305176027</v>
          </cell>
        </row>
        <row r="675">
          <cell r="A675" t="str">
            <v>D-T-ELC-Bus_u_S3</v>
          </cell>
          <cell r="B675" t="str">
            <v>VAR_ncap</v>
          </cell>
          <cell r="C675" t="str">
            <v>-</v>
          </cell>
          <cell r="D675">
            <v>8.5152209623297402E-4</v>
          </cell>
          <cell r="E675">
            <v>7.3199399190720395E-4</v>
          </cell>
          <cell r="F675">
            <v>3.1008745087037599E-4</v>
          </cell>
          <cell r="G675">
            <v>8.3757331999719103E-2</v>
          </cell>
        </row>
        <row r="676">
          <cell r="A676" t="str">
            <v>D-T-ELC-Bus_u_S3</v>
          </cell>
          <cell r="B676" t="str">
            <v>VAR_cap</v>
          </cell>
          <cell r="C676" t="str">
            <v>-</v>
          </cell>
          <cell r="D676">
            <v>8.5152209623297402E-4</v>
          </cell>
          <cell r="E676">
            <v>1.5835160881401799E-3</v>
          </cell>
          <cell r="F676">
            <v>1.8936035390105499E-3</v>
          </cell>
          <cell r="G676">
            <v>8.4884145027201499E-2</v>
          </cell>
        </row>
        <row r="677">
          <cell r="A677" t="str">
            <v>T-Plg-DSL-mix_S3</v>
          </cell>
          <cell r="B677" t="str">
            <v>VAR_fout</v>
          </cell>
          <cell r="C677" t="str">
            <v>CO2_T</v>
          </cell>
          <cell r="D677">
            <v>7.1843645766609598E-3</v>
          </cell>
          <cell r="E677">
            <v>36.7765530464454</v>
          </cell>
          <cell r="F677">
            <v>105.69615681950123</v>
          </cell>
          <cell r="G677">
            <v>349.41668816412687</v>
          </cell>
        </row>
        <row r="678">
          <cell r="A678" t="str">
            <v>T-Plg-DSL-mix_S3</v>
          </cell>
          <cell r="B678" t="str">
            <v>VAR_fout</v>
          </cell>
          <cell r="C678" t="str">
            <v>T-PEVmix-ELC_DSL_S3</v>
          </cell>
          <cell r="D678">
            <v>5.4258411252315752E-5</v>
          </cell>
          <cell r="E678">
            <v>0.27774722709910848</v>
          </cell>
          <cell r="F678">
            <v>0.79824812386778088</v>
          </cell>
          <cell r="G678">
            <v>2.6388964761644544</v>
          </cell>
        </row>
        <row r="679">
          <cell r="A679" t="str">
            <v>T-Plg-DSL-mix_S3</v>
          </cell>
          <cell r="B679" t="str">
            <v>VAR_fin</v>
          </cell>
          <cell r="C679" t="str">
            <v>TDSL</v>
          </cell>
          <cell r="D679">
            <v>9.8013159299603834E-5</v>
          </cell>
          <cell r="E679">
            <v>0.50172650813704522</v>
          </cell>
          <cell r="F679">
            <v>1.4419666687517212</v>
          </cell>
          <cell r="G679">
            <v>4.7669398112432004</v>
          </cell>
        </row>
        <row r="680">
          <cell r="A680" t="str">
            <v>D-T-ELC-Bus_u_S4</v>
          </cell>
          <cell r="B680" t="str">
            <v>VAR_fout</v>
          </cell>
          <cell r="C680" t="str">
            <v>T-ELC-Bus_u_BatSTGin_S4</v>
          </cell>
          <cell r="D680">
            <v>1.9364573941522956E-4</v>
          </cell>
          <cell r="E680">
            <v>3.8795488885637954E-4</v>
          </cell>
          <cell r="F680">
            <v>5.6530260510922277E-4</v>
          </cell>
          <cell r="G680">
            <v>2.7684554538156918E-2</v>
          </cell>
        </row>
        <row r="681">
          <cell r="A681" t="str">
            <v>D-T-ELC-Bus_u_S4</v>
          </cell>
          <cell r="B681" t="str">
            <v>VAR_fin</v>
          </cell>
          <cell r="C681" t="str">
            <v>TELC</v>
          </cell>
          <cell r="D681">
            <v>1.9364573941522956E-4</v>
          </cell>
          <cell r="E681">
            <v>3.8795488885637954E-4</v>
          </cell>
          <cell r="F681">
            <v>5.6530260510922277E-4</v>
          </cell>
          <cell r="G681">
            <v>2.7684554538156918E-2</v>
          </cell>
        </row>
        <row r="682">
          <cell r="A682" t="str">
            <v>D-T-ELC-Bus_u_S4</v>
          </cell>
          <cell r="B682" t="str">
            <v>VAR_ncap</v>
          </cell>
          <cell r="C682" t="str">
            <v>-</v>
          </cell>
          <cell r="D682">
            <v>1.2417045215681199E-4</v>
          </cell>
          <cell r="E682">
            <v>1.10612354748664E-4</v>
          </cell>
          <cell r="F682">
            <v>1.5046907282863499E-4</v>
          </cell>
          <cell r="G682">
            <v>2.7832725332497502E-3</v>
          </cell>
        </row>
        <row r="683">
          <cell r="A683" t="str">
            <v>D-T-ELC-Bus_u_S4</v>
          </cell>
          <cell r="B683" t="str">
            <v>VAR_cap</v>
          </cell>
          <cell r="C683" t="str">
            <v>-</v>
          </cell>
          <cell r="D683">
            <v>1.2417045215681199E-4</v>
          </cell>
          <cell r="E683">
            <v>2.3478280690547601E-4</v>
          </cell>
          <cell r="F683">
            <v>3.85251879734111E-4</v>
          </cell>
          <cell r="G683">
            <v>2.9460271032363001E-3</v>
          </cell>
        </row>
        <row r="684">
          <cell r="A684" t="str">
            <v>T_C-FC-H2O-S1</v>
          </cell>
          <cell r="B684" t="str">
            <v>VAR_fout</v>
          </cell>
          <cell r="C684" t="str">
            <v>TPCAR</v>
          </cell>
          <cell r="E684">
            <v>4.002025506109071E-5</v>
          </cell>
          <cell r="F684">
            <v>5.1168804303040966E-5</v>
          </cell>
          <cell r="G684">
            <v>3.2114619314043902E-6</v>
          </cell>
        </row>
        <row r="685">
          <cell r="A685" t="str">
            <v>T_C-FC-H2O-S1</v>
          </cell>
          <cell r="B685" t="str">
            <v>VAR_fin</v>
          </cell>
          <cell r="C685" t="str">
            <v>TH2O</v>
          </cell>
          <cell r="E685">
            <v>3.6495861882692456E-5</v>
          </cell>
          <cell r="F685">
            <v>4.6662611512486598E-5</v>
          </cell>
          <cell r="G685">
            <v>2.9286437807841621E-6</v>
          </cell>
        </row>
        <row r="686">
          <cell r="A686" t="str">
            <v>T_C-FC-H2O-S1</v>
          </cell>
          <cell r="B686" t="str">
            <v>VAR_ncap</v>
          </cell>
          <cell r="C686" t="str">
            <v>-</v>
          </cell>
          <cell r="E686">
            <v>4.7648939665091204E-6</v>
          </cell>
          <cell r="F686">
            <v>2.17176948696872E-6</v>
          </cell>
          <cell r="G686">
            <v>2.6441110098620701E-7</v>
          </cell>
        </row>
        <row r="687">
          <cell r="A687" t="str">
            <v>T_C-FC-H2O-S1</v>
          </cell>
          <cell r="B687" t="str">
            <v>VAR_cap</v>
          </cell>
          <cell r="C687" t="str">
            <v>-</v>
          </cell>
          <cell r="E687">
            <v>4.7014582140248198E-6</v>
          </cell>
          <cell r="F687">
            <v>6.5752093324749599E-6</v>
          </cell>
          <cell r="G687">
            <v>6.038648767432997E-7</v>
          </cell>
        </row>
        <row r="688">
          <cell r="A688" t="str">
            <v>T_B_c-ICEDSL-S1</v>
          </cell>
          <cell r="B688" t="str">
            <v>VAR_fout</v>
          </cell>
          <cell r="C688" t="str">
            <v>CO2_T</v>
          </cell>
          <cell r="D688">
            <v>8.3032361564215016</v>
          </cell>
          <cell r="E688">
            <v>21.074485337910382</v>
          </cell>
          <cell r="F688">
            <v>25.876640154210289</v>
          </cell>
        </row>
        <row r="689">
          <cell r="A689" t="str">
            <v>T_B_c-ICEDSL-S1</v>
          </cell>
          <cell r="B689" t="str">
            <v>VAR_fout</v>
          </cell>
          <cell r="C689" t="str">
            <v>TPBSc</v>
          </cell>
          <cell r="D689">
            <v>1.4037245729102288E-2</v>
          </cell>
          <cell r="E689">
            <v>3.6385879279730311E-2</v>
          </cell>
          <cell r="F689">
            <v>4.5259162564862079E-2</v>
          </cell>
        </row>
        <row r="690">
          <cell r="A690" t="str">
            <v>T_B_c-ICEDSL-S1</v>
          </cell>
          <cell r="B690" t="str">
            <v>VAR_fin</v>
          </cell>
          <cell r="C690" t="str">
            <v>TDSL</v>
          </cell>
          <cell r="D690">
            <v>0.11327743733180765</v>
          </cell>
          <cell r="E690">
            <v>0.28751003189509389</v>
          </cell>
          <cell r="F690">
            <v>0.35302374016657956</v>
          </cell>
        </row>
        <row r="691">
          <cell r="A691" t="str">
            <v>T_B_c-ICEDSL-S1</v>
          </cell>
          <cell r="B691" t="str">
            <v>VAR_ncap</v>
          </cell>
          <cell r="C691" t="str">
            <v>-</v>
          </cell>
          <cell r="E691">
            <v>4.33874576700474E-4</v>
          </cell>
          <cell r="F691">
            <v>1.93819814455633E-4</v>
          </cell>
        </row>
        <row r="692">
          <cell r="A692" t="str">
            <v>T_B_c-ICEDSL-S1</v>
          </cell>
          <cell r="B692" t="str">
            <v>VAR_cap</v>
          </cell>
          <cell r="C692" t="str">
            <v>-</v>
          </cell>
          <cell r="D692">
            <v>3.05805288461538E-4</v>
          </cell>
          <cell r="E692">
            <v>7.9316365545011557E-4</v>
          </cell>
          <cell r="F692">
            <v>9.8700771038230423E-4</v>
          </cell>
          <cell r="G692">
            <v>-1.9533703399373867E-9</v>
          </cell>
        </row>
        <row r="693">
          <cell r="A693" t="str">
            <v>T-Plg-DSL-mix_S4</v>
          </cell>
          <cell r="B693" t="str">
            <v>VAR_fout</v>
          </cell>
          <cell r="C693" t="str">
            <v>CO2_T</v>
          </cell>
          <cell r="D693">
            <v>0.41164616186094599</v>
          </cell>
          <cell r="E693">
            <v>1.51474897009814</v>
          </cell>
          <cell r="F693">
            <v>1.6849428209077169</v>
          </cell>
          <cell r="G693">
            <v>7.4429044198558927</v>
          </cell>
        </row>
        <row r="694">
          <cell r="A694" t="str">
            <v>T-Plg-DSL-mix_S4</v>
          </cell>
          <cell r="B694" t="str">
            <v>VAR_fout</v>
          </cell>
          <cell r="C694" t="str">
            <v>T-PEVmix-ELC_DSL_S4</v>
          </cell>
          <cell r="D694">
            <v>2.9595756985119977E-3</v>
          </cell>
          <cell r="E694">
            <v>1.0890455582002707E-2</v>
          </cell>
          <cell r="F694">
            <v>1.2114083132943787E-2</v>
          </cell>
          <cell r="G694">
            <v>5.3511586134487171E-2</v>
          </cell>
        </row>
        <row r="695">
          <cell r="A695" t="str">
            <v>T-Plg-DSL-mix_S4</v>
          </cell>
          <cell r="B695" t="str">
            <v>VAR_fin</v>
          </cell>
          <cell r="C695" t="str">
            <v>TDSL</v>
          </cell>
          <cell r="D695">
            <v>5.6159094387577945E-3</v>
          </cell>
          <cell r="E695">
            <v>2.0665060983603562E-2</v>
          </cell>
          <cell r="F695">
            <v>2.2986941622206221E-2</v>
          </cell>
          <cell r="G695">
            <v>0.1015403058643369</v>
          </cell>
        </row>
        <row r="696">
          <cell r="A696" t="str">
            <v>T_C-FC-H2O-S2</v>
          </cell>
          <cell r="B696" t="str">
            <v>VAR_fout</v>
          </cell>
          <cell r="C696" t="str">
            <v>TPCAR</v>
          </cell>
          <cell r="D696">
            <v>7.3297593631762629E-5</v>
          </cell>
          <cell r="E696">
            <v>1.0680348331405904E-4</v>
          </cell>
          <cell r="F696">
            <v>1.1328764694558392E-4</v>
          </cell>
          <cell r="G696">
            <v>8.5949484831813331E-6</v>
          </cell>
        </row>
        <row r="697">
          <cell r="A697" t="str">
            <v>T_C-FC-H2O-S2</v>
          </cell>
          <cell r="B697" t="str">
            <v>VAR_fin</v>
          </cell>
          <cell r="C697" t="str">
            <v>TH2O</v>
          </cell>
          <cell r="D697">
            <v>8.2218719507557326E-5</v>
          </cell>
          <cell r="E697">
            <v>1.1980264565225035E-4</v>
          </cell>
          <cell r="F697">
            <v>1.2707600354091087E-4</v>
          </cell>
          <cell r="G697">
            <v>9.6410485461608145E-6</v>
          </cell>
        </row>
        <row r="698">
          <cell r="A698" t="str">
            <v>T_C-FC-H2O-S2</v>
          </cell>
          <cell r="B698" t="str">
            <v>VAR_ncap</v>
          </cell>
          <cell r="C698" t="str">
            <v>-</v>
          </cell>
          <cell r="E698">
            <v>2.3496243161301699E-6</v>
          </cell>
          <cell r="F698">
            <v>9.723043500655361E-7</v>
          </cell>
          <cell r="G698">
            <v>2.3633659098828001E-7</v>
          </cell>
        </row>
        <row r="699">
          <cell r="A699" t="str">
            <v>T_C-FC-H2O-S2</v>
          </cell>
          <cell r="B699" t="str">
            <v>VAR_cap</v>
          </cell>
          <cell r="C699" t="str">
            <v>-</v>
          </cell>
          <cell r="D699">
            <v>6.322364253624877E-6</v>
          </cell>
          <cell r="E699">
            <v>8.6516767463423002E-6</v>
          </cell>
          <cell r="F699">
            <v>9.4783377395211711E-6</v>
          </cell>
          <cell r="G699">
            <v>8.6017123945438003E-7</v>
          </cell>
        </row>
        <row r="700">
          <cell r="A700" t="str">
            <v>T_B_c-ICEDSL-S2</v>
          </cell>
          <cell r="B700" t="str">
            <v>VAR_fout</v>
          </cell>
          <cell r="C700" t="str">
            <v>CO2_T</v>
          </cell>
          <cell r="D700">
            <v>38.059063639592303</v>
          </cell>
          <cell r="E700">
            <v>28.521997459262384</v>
          </cell>
          <cell r="F700">
            <v>35.342965346867182</v>
          </cell>
        </row>
        <row r="701">
          <cell r="A701" t="str">
            <v>T_B_c-ICEDSL-S2</v>
          </cell>
          <cell r="B701" t="str">
            <v>VAR_fout</v>
          </cell>
          <cell r="C701" t="str">
            <v>TPBSc</v>
          </cell>
          <cell r="D701">
            <v>4.5414300948865907E-2</v>
          </cell>
          <cell r="E701">
            <v>3.4171424279639019E-2</v>
          </cell>
          <cell r="F701">
            <v>4.2319065715581528E-2</v>
          </cell>
        </row>
        <row r="702">
          <cell r="A702" t="str">
            <v>T_B_c-ICEDSL-S2</v>
          </cell>
          <cell r="B702" t="str">
            <v>VAR_fin</v>
          </cell>
          <cell r="C702" t="str">
            <v>TDSL</v>
          </cell>
          <cell r="D702">
            <v>0.51922324201353776</v>
          </cell>
          <cell r="E702">
            <v>0.3891131986256805</v>
          </cell>
          <cell r="F702">
            <v>0.48216869504593762</v>
          </cell>
        </row>
        <row r="703">
          <cell r="A703" t="str">
            <v>T_B_c-ICEDSL-S2</v>
          </cell>
          <cell r="B703" t="str">
            <v>VAR_ncap</v>
          </cell>
          <cell r="C703" t="str">
            <v>-</v>
          </cell>
          <cell r="E703">
            <v>1.12458624123015E-6</v>
          </cell>
          <cell r="F703">
            <v>1.7406994613312301E-6</v>
          </cell>
        </row>
        <row r="704">
          <cell r="A704" t="str">
            <v>T_B_c-ICEDSL-S2</v>
          </cell>
          <cell r="B704" t="str">
            <v>VAR_cap</v>
          </cell>
          <cell r="C704" t="str">
            <v>-</v>
          </cell>
          <cell r="D704">
            <v>9.8784375000000001E-4</v>
          </cell>
          <cell r="E704">
            <v>9.1840764085696514E-4</v>
          </cell>
          <cell r="F704">
            <v>9.2018756238486724E-4</v>
          </cell>
          <cell r="G704">
            <v>-2.1132761136724923E-9</v>
          </cell>
        </row>
        <row r="705">
          <cell r="A705" t="str">
            <v>T_TW-FCLH2O-S1</v>
          </cell>
          <cell r="B705" t="str">
            <v>VAR_fout</v>
          </cell>
          <cell r="C705" t="str">
            <v>TPTWL</v>
          </cell>
          <cell r="G705">
            <v>2.7016294004554662E-4</v>
          </cell>
        </row>
        <row r="706">
          <cell r="A706" t="str">
            <v>T_TW-FCLH2O-S1</v>
          </cell>
          <cell r="B706" t="str">
            <v>VAR_fin</v>
          </cell>
          <cell r="C706" t="str">
            <v>TH2O</v>
          </cell>
          <cell r="G706">
            <v>5.8235842037764575E-5</v>
          </cell>
        </row>
        <row r="707">
          <cell r="A707" t="str">
            <v>T_TW-FCLH2O-S1</v>
          </cell>
          <cell r="B707" t="str">
            <v>VAR_ncap</v>
          </cell>
          <cell r="C707" t="str">
            <v>-</v>
          </cell>
          <cell r="G707">
            <v>1.01898691062398E-4</v>
          </cell>
        </row>
        <row r="708">
          <cell r="A708" t="str">
            <v>T_TW-FCLH2O-S1</v>
          </cell>
          <cell r="B708" t="str">
            <v>VAR_cap</v>
          </cell>
          <cell r="C708" t="str">
            <v>-</v>
          </cell>
          <cell r="G708">
            <v>1.01898691062398E-4</v>
          </cell>
        </row>
        <row r="709">
          <cell r="A709" t="str">
            <v>D-T-ELC-TW_Bat_S1</v>
          </cell>
          <cell r="B709" t="str">
            <v>VAR_fout</v>
          </cell>
          <cell r="C709" t="str">
            <v>T-ELC-TWSTGin_S1</v>
          </cell>
          <cell r="D709">
            <v>1.6416930389640599E-3</v>
          </cell>
          <cell r="E709">
            <v>2.4068728343241723E-3</v>
          </cell>
          <cell r="F709">
            <v>2.4992090371918005E-3</v>
          </cell>
          <cell r="G709">
            <v>3.5484221613729834E-3</v>
          </cell>
        </row>
        <row r="710">
          <cell r="A710" t="str">
            <v>D-T-ELC-TW_Bat_S1</v>
          </cell>
          <cell r="B710" t="str">
            <v>VAR_fin</v>
          </cell>
          <cell r="C710" t="str">
            <v>TELC</v>
          </cell>
          <cell r="D710">
            <v>1.6416930389640599E-3</v>
          </cell>
          <cell r="E710">
            <v>2.4068728343241723E-3</v>
          </cell>
          <cell r="F710">
            <v>2.4992090371918005E-3</v>
          </cell>
          <cell r="G710">
            <v>3.5484221613729834E-3</v>
          </cell>
        </row>
        <row r="711">
          <cell r="A711" t="str">
            <v>D-T-ELC-TW_Bat_S1</v>
          </cell>
          <cell r="B711" t="str">
            <v>VAR_ncap</v>
          </cell>
          <cell r="C711" t="str">
            <v>-</v>
          </cell>
          <cell r="D711">
            <v>2.6661103161880299E-4</v>
          </cell>
          <cell r="E711">
            <v>1.5998296666271002E-5</v>
          </cell>
          <cell r="F711">
            <v>8.1976183966088408E-6</v>
          </cell>
          <cell r="G711">
            <v>1.5848714929680399E-4</v>
          </cell>
        </row>
        <row r="712">
          <cell r="A712" t="str">
            <v>D-T-ELC-TW_Bat_S1</v>
          </cell>
          <cell r="B712" t="str">
            <v>VAR_cap</v>
          </cell>
          <cell r="C712" t="str">
            <v>-</v>
          </cell>
          <cell r="D712">
            <v>2.6661103161880299E-4</v>
          </cell>
          <cell r="E712">
            <v>2.82609328285074E-4</v>
          </cell>
          <cell r="F712">
            <v>2.90806946681682E-4</v>
          </cell>
          <cell r="G712">
            <v>3.7564179011760699E-4</v>
          </cell>
        </row>
        <row r="713">
          <cell r="A713" t="str">
            <v>T_C-FC-H2O-S3</v>
          </cell>
          <cell r="B713" t="str">
            <v>VAR_fout</v>
          </cell>
          <cell r="C713" t="str">
            <v>TPCAR</v>
          </cell>
          <cell r="D713">
            <v>6.3592273115321092E-4</v>
          </cell>
          <cell r="E713">
            <v>1.5467169662970982E-3</v>
          </cell>
          <cell r="F713">
            <v>1.4652549374745505E-3</v>
          </cell>
          <cell r="G713">
            <v>1.5629961179835365E-5</v>
          </cell>
        </row>
        <row r="714">
          <cell r="A714" t="str">
            <v>T_C-FC-H2O-S3</v>
          </cell>
          <cell r="B714" t="str">
            <v>VAR_fin</v>
          </cell>
          <cell r="C714" t="str">
            <v>TH2O</v>
          </cell>
          <cell r="D714">
            <v>7.6616728279510829E-4</v>
          </cell>
          <cell r="E714">
            <v>1.8635030283819661E-3</v>
          </cell>
          <cell r="F714">
            <v>1.7653566055284182E-3</v>
          </cell>
          <cell r="G714">
            <v>1.8831163442815146E-5</v>
          </cell>
        </row>
        <row r="715">
          <cell r="A715" t="str">
            <v>T_C-FC-H2O-S3</v>
          </cell>
          <cell r="B715" t="str">
            <v>VAR_ncap</v>
          </cell>
          <cell r="C715" t="str">
            <v>-</v>
          </cell>
          <cell r="E715">
            <v>1.9338803942341801E-6</v>
          </cell>
          <cell r="F715">
            <v>7.0696954335691398E-7</v>
          </cell>
          <cell r="G715">
            <v>1.99482428574528E-7</v>
          </cell>
        </row>
        <row r="716">
          <cell r="A716" t="str">
            <v>T_C-FC-H2O-S3</v>
          </cell>
          <cell r="B716" t="str">
            <v>VAR_cap</v>
          </cell>
          <cell r="C716" t="str">
            <v>-</v>
          </cell>
          <cell r="D716">
            <v>5.360266501598452E-5</v>
          </cell>
          <cell r="E716">
            <v>1.0996576545769841E-4</v>
          </cell>
          <cell r="F716">
            <v>1.0536679198184083E-4</v>
          </cell>
          <cell r="G716">
            <v>1.1569499251595018E-6</v>
          </cell>
        </row>
        <row r="717">
          <cell r="A717" t="str">
            <v>T_B_c-ICEDSL-S3</v>
          </cell>
          <cell r="B717" t="str">
            <v>VAR_fout</v>
          </cell>
          <cell r="C717" t="str">
            <v>CO2_T</v>
          </cell>
          <cell r="D717">
            <v>11.339397757818279</v>
          </cell>
          <cell r="E717">
            <v>9.3150620067933385</v>
          </cell>
          <cell r="F717">
            <v>11.480790031792223</v>
          </cell>
        </row>
        <row r="718">
          <cell r="A718" t="str">
            <v>T_B_c-ICEDSL-S3</v>
          </cell>
          <cell r="B718" t="str">
            <v>VAR_fout</v>
          </cell>
          <cell r="C718" t="str">
            <v>TPBSc</v>
          </cell>
          <cell r="D718">
            <v>8.9647032430736264E-3</v>
          </cell>
          <cell r="E718">
            <v>7.393327400954346E-3</v>
          </cell>
          <cell r="F718">
            <v>9.1083854024151985E-3</v>
          </cell>
        </row>
        <row r="719">
          <cell r="A719" t="str">
            <v>T_B_c-ICEDSL-S3</v>
          </cell>
          <cell r="B719" t="str">
            <v>VAR_fin</v>
          </cell>
          <cell r="C719" t="str">
            <v>TDSL</v>
          </cell>
          <cell r="D719">
            <v>0.15469846872876225</v>
          </cell>
          <cell r="E719">
            <v>0.12708133706402935</v>
          </cell>
          <cell r="F719">
            <v>0.15662742198897978</v>
          </cell>
        </row>
        <row r="720">
          <cell r="A720" t="str">
            <v>T_B_c-ICEDSL-S3</v>
          </cell>
          <cell r="B720" t="str">
            <v>VAR_ncap</v>
          </cell>
          <cell r="C720" t="str">
            <v>-</v>
          </cell>
          <cell r="E720">
            <v>4.7625730490950498E-7</v>
          </cell>
          <cell r="F720">
            <v>5.0784145051253598E-7</v>
          </cell>
        </row>
        <row r="721">
          <cell r="A721" t="str">
            <v>T_B_c-ICEDSL-S3</v>
          </cell>
          <cell r="B721" t="str">
            <v>VAR_cap</v>
          </cell>
          <cell r="C721" t="str">
            <v>-</v>
          </cell>
          <cell r="D721">
            <v>1.9606390119395039E-4</v>
          </cell>
          <cell r="E721">
            <v>1.9773346914568379E-4</v>
          </cell>
          <cell r="F721">
            <v>1.9825633416667269E-4</v>
          </cell>
          <cell r="G721">
            <v>-1.4358203493075161E-9</v>
          </cell>
        </row>
        <row r="722">
          <cell r="A722" t="str">
            <v>T_TW-FCLH2O-S2</v>
          </cell>
          <cell r="B722" t="str">
            <v>VAR_fout</v>
          </cell>
          <cell r="C722" t="str">
            <v>TPTWL</v>
          </cell>
          <cell r="G722">
            <v>1.3223114441380772E-4</v>
          </cell>
        </row>
        <row r="723">
          <cell r="A723" t="str">
            <v>T_TW-FCLH2O-S2</v>
          </cell>
          <cell r="B723" t="str">
            <v>VAR_fin</v>
          </cell>
          <cell r="C723" t="str">
            <v>TH2O</v>
          </cell>
          <cell r="G723">
            <v>4.8958416886246296E-5</v>
          </cell>
        </row>
        <row r="724">
          <cell r="A724" t="str">
            <v>T_TW-FCLH2O-S2</v>
          </cell>
          <cell r="B724" t="str">
            <v>VAR_ncap</v>
          </cell>
          <cell r="C724" t="str">
            <v>-</v>
          </cell>
          <cell r="G724">
            <v>5.0686696563982298E-5</v>
          </cell>
        </row>
        <row r="725">
          <cell r="A725" t="str">
            <v>T_TW-FCLH2O-S2</v>
          </cell>
          <cell r="B725" t="str">
            <v>VAR_cap</v>
          </cell>
          <cell r="C725" t="str">
            <v>-</v>
          </cell>
          <cell r="G725">
            <v>5.0686696563982298E-5</v>
          </cell>
        </row>
        <row r="726">
          <cell r="A726" t="str">
            <v>D-T-ELC-TW_Bat_S2</v>
          </cell>
          <cell r="B726" t="str">
            <v>VAR_fout</v>
          </cell>
          <cell r="C726" t="str">
            <v>T-ELC-TWSTGin_S2</v>
          </cell>
          <cell r="D726">
            <v>3.7323860961264489E-4</v>
          </cell>
          <cell r="E726">
            <v>5.2255675715741985E-4</v>
          </cell>
          <cell r="F726">
            <v>5.6591349267505031E-4</v>
          </cell>
          <cell r="G726">
            <v>2.9258518009822134E-3</v>
          </cell>
        </row>
        <row r="727">
          <cell r="A727" t="str">
            <v>D-T-ELC-TW_Bat_S2</v>
          </cell>
          <cell r="B727" t="str">
            <v>VAR_fin</v>
          </cell>
          <cell r="C727" t="str">
            <v>TELC</v>
          </cell>
          <cell r="D727">
            <v>3.7323860961264489E-4</v>
          </cell>
          <cell r="E727">
            <v>5.2255675715741985E-4</v>
          </cell>
          <cell r="F727">
            <v>5.6591349267505031E-4</v>
          </cell>
          <cell r="G727">
            <v>2.9258518009822134E-3</v>
          </cell>
        </row>
        <row r="728">
          <cell r="A728" t="str">
            <v>D-T-ELC-TW_Bat_S2</v>
          </cell>
          <cell r="B728" t="str">
            <v>VAR_ncap</v>
          </cell>
          <cell r="C728" t="str">
            <v>-</v>
          </cell>
          <cell r="D728">
            <v>1.44820422482246E-4</v>
          </cell>
          <cell r="E728">
            <v>9.1448940429007203E-7</v>
          </cell>
          <cell r="F728">
            <v>5.8257081069598996E-6</v>
          </cell>
          <cell r="G728">
            <v>1.58449772251637E-4</v>
          </cell>
        </row>
        <row r="729">
          <cell r="A729" t="str">
            <v>D-T-ELC-TW_Bat_S2</v>
          </cell>
          <cell r="B729" t="str">
            <v>VAR_cap</v>
          </cell>
          <cell r="C729" t="str">
            <v>-</v>
          </cell>
          <cell r="D729">
            <v>1.44820422482246E-4</v>
          </cell>
          <cell r="E729">
            <v>1.4573491188653599E-4</v>
          </cell>
          <cell r="F729">
            <v>1.5156061999349599E-4</v>
          </cell>
          <cell r="G729">
            <v>3.1001039224513302E-4</v>
          </cell>
        </row>
        <row r="730">
          <cell r="A730" t="str">
            <v>T_C-FC-H2O-S4</v>
          </cell>
          <cell r="B730" t="str">
            <v>VAR_fout</v>
          </cell>
          <cell r="C730" t="str">
            <v>TPCAR</v>
          </cell>
          <cell r="E730">
            <v>2.9269589621811344E-5</v>
          </cell>
          <cell r="F730">
            <v>3.756352503402169E-5</v>
          </cell>
          <cell r="G730">
            <v>5.4790139592308994E-6</v>
          </cell>
        </row>
        <row r="731">
          <cell r="A731" t="str">
            <v>T_C-FC-H2O-S4</v>
          </cell>
          <cell r="B731" t="str">
            <v>VAR_fin</v>
          </cell>
          <cell r="C731" t="str">
            <v>TH2O</v>
          </cell>
          <cell r="E731">
            <v>3.4979971251249272E-5</v>
          </cell>
          <cell r="F731">
            <v>4.4892020788925075E-5</v>
          </cell>
          <cell r="G731">
            <v>6.5479479984328434E-6</v>
          </cell>
        </row>
        <row r="732">
          <cell r="A732" t="str">
            <v>T_C-FC-H2O-S4</v>
          </cell>
          <cell r="B732" t="str">
            <v>VAR_ncap</v>
          </cell>
          <cell r="C732" t="str">
            <v>-</v>
          </cell>
          <cell r="E732">
            <v>2.5612446628905799E-6</v>
          </cell>
          <cell r="F732">
            <v>9.4460523618825399E-7</v>
          </cell>
          <cell r="G732">
            <v>2.2162136885082001E-7</v>
          </cell>
        </row>
        <row r="733">
          <cell r="A733" t="str">
            <v>T_C-FC-H2O-S4</v>
          </cell>
          <cell r="B733" t="str">
            <v>VAR_cap</v>
          </cell>
          <cell r="C733" t="str">
            <v>-</v>
          </cell>
          <cell r="E733">
            <v>2.5271464261556499E-6</v>
          </cell>
          <cell r="F733">
            <v>3.3145254585846899E-6</v>
          </cell>
          <cell r="G733">
            <v>5.8494962376041008E-7</v>
          </cell>
        </row>
        <row r="734">
          <cell r="A734" t="str">
            <v>T_B_c-ICEDSL-S4</v>
          </cell>
          <cell r="B734" t="str">
            <v>VAR_fout</v>
          </cell>
          <cell r="C734" t="str">
            <v>CO2_T</v>
          </cell>
          <cell r="D734">
            <v>0.98202572057588422</v>
          </cell>
          <cell r="E734">
            <v>3.4770715086926522E-2</v>
          </cell>
          <cell r="F734">
            <v>4.0939943710627848E-2</v>
          </cell>
        </row>
        <row r="735">
          <cell r="A735" t="str">
            <v>T_B_c-ICEDSL-S4</v>
          </cell>
          <cell r="B735" t="str">
            <v>VAR_fout</v>
          </cell>
          <cell r="C735" t="str">
            <v>TPBSc</v>
          </cell>
          <cell r="D735">
            <v>5.1776041927314683E-4</v>
          </cell>
          <cell r="E735">
            <v>1.8482993545135832E-5</v>
          </cell>
          <cell r="F735">
            <v>2.1975932362750108E-5</v>
          </cell>
        </row>
        <row r="736">
          <cell r="A736" t="str">
            <v>T_B_c-ICEDSL-S4</v>
          </cell>
          <cell r="B736" t="str">
            <v>VAR_fin</v>
          </cell>
          <cell r="C736" t="str">
            <v>TDSL</v>
          </cell>
          <cell r="D736">
            <v>1.3397349530366769E-2</v>
          </cell>
          <cell r="E736">
            <v>4.7436173379163056E-4</v>
          </cell>
          <cell r="F736">
            <v>5.5852583506995745E-4</v>
          </cell>
        </row>
        <row r="737">
          <cell r="A737" t="str">
            <v>T_B_c-ICEDSL-S4</v>
          </cell>
          <cell r="B737" t="str">
            <v>VAR_ncap</v>
          </cell>
          <cell r="C737" t="str">
            <v>-</v>
          </cell>
          <cell r="E737">
            <v>7.5273338757764896E-8</v>
          </cell>
          <cell r="F737">
            <v>8.36545053690052E-8</v>
          </cell>
        </row>
        <row r="738">
          <cell r="A738" t="str">
            <v>T_B_c-ICEDSL-S4</v>
          </cell>
          <cell r="B738" t="str">
            <v>VAR_cap</v>
          </cell>
          <cell r="C738" t="str">
            <v>-</v>
          </cell>
          <cell r="D738">
            <v>1.2606411476465704E-5</v>
          </cell>
          <cell r="E738">
            <v>5.3419476028706577E-7</v>
          </cell>
          <cell r="F738">
            <v>6.0013044187527236E-7</v>
          </cell>
          <cell r="G738">
            <v>-3.7407224882901197E-9</v>
          </cell>
        </row>
        <row r="739">
          <cell r="A739" t="str">
            <v>D-T-ELC-HGV</v>
          </cell>
          <cell r="B739" t="str">
            <v>VAR_fout</v>
          </cell>
          <cell r="C739" t="str">
            <v>T-ELC-HGV_BatSTGin</v>
          </cell>
          <cell r="D739">
            <v>1.0095031563727099E-2</v>
          </cell>
          <cell r="E739">
            <v>2.5538657144704678E-2</v>
          </cell>
          <cell r="F739">
            <v>2.5458803432555886E-2</v>
          </cell>
          <cell r="G739">
            <v>8.3205982446332375E-3</v>
          </cell>
        </row>
        <row r="740">
          <cell r="A740" t="str">
            <v>D-T-ELC-HGV</v>
          </cell>
          <cell r="B740" t="str">
            <v>VAR_fin</v>
          </cell>
          <cell r="C740" t="str">
            <v>TELC</v>
          </cell>
          <cell r="D740">
            <v>1.0095031563727099E-2</v>
          </cell>
          <cell r="E740">
            <v>2.5538657144704678E-2</v>
          </cell>
          <cell r="F740">
            <v>2.5458803432555886E-2</v>
          </cell>
          <cell r="G740">
            <v>8.3205982446332375E-3</v>
          </cell>
        </row>
        <row r="741">
          <cell r="A741" t="str">
            <v>D-T-ELC-HGV</v>
          </cell>
          <cell r="B741" t="str">
            <v>VAR_ncap</v>
          </cell>
          <cell r="C741" t="str">
            <v>-</v>
          </cell>
          <cell r="D741">
            <v>1.4377888162078101E-3</v>
          </cell>
          <cell r="E741">
            <v>1.8571158554700599E-3</v>
          </cell>
          <cell r="F741">
            <v>1.2955284736315201E-4</v>
          </cell>
          <cell r="G741">
            <v>2.0721549262587099E-4</v>
          </cell>
        </row>
        <row r="742">
          <cell r="A742" t="str">
            <v>D-T-ELC-HGV</v>
          </cell>
          <cell r="B742" t="str">
            <v>VAR_cap</v>
          </cell>
          <cell r="C742" t="str">
            <v>-</v>
          </cell>
          <cell r="D742">
            <v>1.4377888162078101E-3</v>
          </cell>
          <cell r="E742">
            <v>3.29490467167787E-3</v>
          </cell>
          <cell r="F742">
            <v>3.4244575190410199E-3</v>
          </cell>
          <cell r="G742">
            <v>1.08667801457957E-3</v>
          </cell>
        </row>
        <row r="743">
          <cell r="A743" t="str">
            <v>T_TW-FCLH2O-S3</v>
          </cell>
          <cell r="B743" t="str">
            <v>VAR_fout</v>
          </cell>
          <cell r="C743" t="str">
            <v>TPTWL</v>
          </cell>
          <cell r="G743">
            <v>7.8618065252760401E-5</v>
          </cell>
        </row>
        <row r="744">
          <cell r="A744" t="str">
            <v>T_TW-FCLH2O-S3</v>
          </cell>
          <cell r="B744" t="str">
            <v>VAR_fin</v>
          </cell>
          <cell r="C744" t="str">
            <v>TH2O</v>
          </cell>
          <cell r="G744">
            <v>4.4652901293015561E-5</v>
          </cell>
        </row>
        <row r="745">
          <cell r="A745" t="str">
            <v>T_TW-FCLH2O-S3</v>
          </cell>
          <cell r="B745" t="str">
            <v>VAR_ncap</v>
          </cell>
          <cell r="C745" t="str">
            <v>-</v>
          </cell>
          <cell r="G745">
            <v>3.0227632143542699E-5</v>
          </cell>
        </row>
        <row r="746">
          <cell r="A746" t="str">
            <v>T_TW-FCLH2O-S3</v>
          </cell>
          <cell r="B746" t="str">
            <v>VAR_cap</v>
          </cell>
          <cell r="C746" t="str">
            <v>-</v>
          </cell>
          <cell r="G746">
            <v>3.0227632143542699E-5</v>
          </cell>
        </row>
        <row r="747">
          <cell r="A747" t="str">
            <v>D-T-ELC-TW_Bat_S3</v>
          </cell>
          <cell r="B747" t="str">
            <v>VAR_fout</v>
          </cell>
          <cell r="C747" t="str">
            <v>T-ELC-TWSTGin_S3</v>
          </cell>
          <cell r="D747">
            <v>8.8938205487106966E-5</v>
          </cell>
          <cell r="E747">
            <v>1.8807199309831869E-4</v>
          </cell>
          <cell r="F747">
            <v>2.3076958462971221E-4</v>
          </cell>
          <cell r="G747">
            <v>3.1236635534789112E-3</v>
          </cell>
        </row>
        <row r="748">
          <cell r="A748" t="str">
            <v>D-T-ELC-TW_Bat_S3</v>
          </cell>
          <cell r="B748" t="str">
            <v>VAR_fin</v>
          </cell>
          <cell r="C748" t="str">
            <v>TELC</v>
          </cell>
          <cell r="D748">
            <v>8.8938205487106966E-5</v>
          </cell>
          <cell r="E748">
            <v>1.8807199309831869E-4</v>
          </cell>
          <cell r="F748">
            <v>2.3076958462971221E-4</v>
          </cell>
          <cell r="G748">
            <v>3.1236635534789112E-3</v>
          </cell>
        </row>
        <row r="749">
          <cell r="A749" t="str">
            <v>D-T-ELC-TW_Bat_S3</v>
          </cell>
          <cell r="B749" t="str">
            <v>VAR_ncap</v>
          </cell>
          <cell r="C749" t="str">
            <v>-</v>
          </cell>
          <cell r="D749">
            <v>1.5413889472115099E-4</v>
          </cell>
          <cell r="E749">
            <v>1.04725605122557E-6</v>
          </cell>
          <cell r="F749">
            <v>6.2686019061876402E-6</v>
          </cell>
          <cell r="G749">
            <v>1.6966821180215401E-4</v>
          </cell>
        </row>
        <row r="750">
          <cell r="A750" t="str">
            <v>D-T-ELC-TW_Bat_S3</v>
          </cell>
          <cell r="B750" t="str">
            <v>VAR_cap</v>
          </cell>
          <cell r="C750" t="str">
            <v>-</v>
          </cell>
          <cell r="D750">
            <v>1.5413889472115099E-4</v>
          </cell>
          <cell r="E750">
            <v>1.5518615077237701E-4</v>
          </cell>
          <cell r="F750">
            <v>1.6145475267856401E-4</v>
          </cell>
          <cell r="G750">
            <v>3.3112296448071902E-4</v>
          </cell>
        </row>
        <row r="751">
          <cell r="A751" t="str">
            <v>T_TW-FCLH2O-S4</v>
          </cell>
          <cell r="B751" t="str">
            <v>VAR_fout</v>
          </cell>
          <cell r="C751" t="str">
            <v>TPTWL</v>
          </cell>
          <cell r="G751">
            <v>4.0850305582895343E-5</v>
          </cell>
        </row>
        <row r="752">
          <cell r="A752" t="str">
            <v>T_TW-FCLH2O-S4</v>
          </cell>
          <cell r="B752" t="str">
            <v>VAR_fin</v>
          </cell>
          <cell r="C752" t="str">
            <v>TH2O</v>
          </cell>
          <cell r="G752">
            <v>2.6151874958949932E-5</v>
          </cell>
        </row>
        <row r="753">
          <cell r="A753" t="str">
            <v>T_TW-FCLH2O-S4</v>
          </cell>
          <cell r="B753" t="str">
            <v>VAR_ncap</v>
          </cell>
          <cell r="C753" t="str">
            <v>-</v>
          </cell>
          <cell r="G753">
            <v>1.56865085792254E-5</v>
          </cell>
        </row>
        <row r="754">
          <cell r="A754" t="str">
            <v>T_TW-FCLH2O-S4</v>
          </cell>
          <cell r="B754" t="str">
            <v>VAR_cap</v>
          </cell>
          <cell r="C754" t="str">
            <v>-</v>
          </cell>
          <cell r="G754">
            <v>1.56865085792254E-5</v>
          </cell>
        </row>
        <row r="755">
          <cell r="A755" t="str">
            <v>D-T-ELC-TW_Bat_S4</v>
          </cell>
          <cell r="B755" t="str">
            <v>VAR_fout</v>
          </cell>
          <cell r="C755" t="str">
            <v>T-ELC-TWSTGin_S4</v>
          </cell>
          <cell r="D755">
            <v>9.293671023799051E-5</v>
          </cell>
          <cell r="E755">
            <v>1.7671042385101191E-4</v>
          </cell>
          <cell r="F755">
            <v>2.3176799986420859E-4</v>
          </cell>
          <cell r="G755">
            <v>3.1201420193871796E-3</v>
          </cell>
        </row>
        <row r="756">
          <cell r="A756" t="str">
            <v>D-T-ELC-TW_Bat_S4</v>
          </cell>
          <cell r="B756" t="str">
            <v>VAR_fin</v>
          </cell>
          <cell r="C756" t="str">
            <v>TELC</v>
          </cell>
          <cell r="D756">
            <v>9.293671023799051E-5</v>
          </cell>
          <cell r="E756">
            <v>1.7671042385101191E-4</v>
          </cell>
          <cell r="F756">
            <v>2.3176799986420859E-4</v>
          </cell>
          <cell r="G756">
            <v>3.1201420193871796E-3</v>
          </cell>
        </row>
        <row r="757">
          <cell r="A757" t="str">
            <v>D-T-ELC-TW_Bat_S4</v>
          </cell>
          <cell r="B757" t="str">
            <v>VAR_ncap</v>
          </cell>
          <cell r="C757" t="str">
            <v>-</v>
          </cell>
          <cell r="D757">
            <v>1.7578647392971401E-4</v>
          </cell>
          <cell r="E757">
            <v>1.12065853213834E-6</v>
          </cell>
          <cell r="F757">
            <v>2.81884982859323E-6</v>
          </cell>
          <cell r="G757">
            <v>1.51005750090969E-4</v>
          </cell>
        </row>
        <row r="758">
          <cell r="A758" t="str">
            <v>D-T-ELC-TW_Bat_S4</v>
          </cell>
          <cell r="B758" t="str">
            <v>VAR_cap</v>
          </cell>
          <cell r="C758" t="str">
            <v>-</v>
          </cell>
          <cell r="D758">
            <v>1.7578647392971401E-4</v>
          </cell>
          <cell r="E758">
            <v>1.76907132461853E-4</v>
          </cell>
          <cell r="F758">
            <v>1.79725982290446E-4</v>
          </cell>
          <cell r="G758">
            <v>3.3073173238141502E-4</v>
          </cell>
        </row>
        <row r="759">
          <cell r="A759" t="str">
            <v>T_B_u-ICENGA-S1</v>
          </cell>
          <cell r="B759" t="str">
            <v>VAR_fout</v>
          </cell>
          <cell r="C759" t="str">
            <v>CO2_T</v>
          </cell>
          <cell r="E759">
            <v>2.6245448351527999E-2</v>
          </cell>
          <cell r="F759">
            <v>5.2379516358416506E-2</v>
          </cell>
        </row>
        <row r="760">
          <cell r="A760" t="str">
            <v>T_B_u-ICENGA-S1</v>
          </cell>
          <cell r="B760" t="str">
            <v>VAR_fout</v>
          </cell>
          <cell r="C760" t="str">
            <v>TPBSu</v>
          </cell>
          <cell r="E760">
            <v>5.5951908058055947E-5</v>
          </cell>
          <cell r="F760">
            <v>1.1401502642678173E-4</v>
          </cell>
        </row>
        <row r="761">
          <cell r="A761" t="str">
            <v>T_B_u-ICENGA-S1</v>
          </cell>
          <cell r="B761" t="str">
            <v>VAR_fin</v>
          </cell>
          <cell r="C761" t="str">
            <v>TNGA</v>
          </cell>
          <cell r="E761">
            <v>4.6534482892780169E-4</v>
          </cell>
          <cell r="F761">
            <v>9.2871482904993718E-4</v>
          </cell>
        </row>
        <row r="762">
          <cell r="A762" t="str">
            <v>T_B_u-ICENGA-S1</v>
          </cell>
          <cell r="B762" t="str">
            <v>VAR_ncap</v>
          </cell>
          <cell r="C762" t="str">
            <v>-</v>
          </cell>
          <cell r="E762">
            <v>1.3747147245805199E-6</v>
          </cell>
          <cell r="F762">
            <v>9.2661489772155697E-7</v>
          </cell>
        </row>
        <row r="763">
          <cell r="A763" t="str">
            <v>T_B_u-ICENGA-S1</v>
          </cell>
          <cell r="B763" t="str">
            <v>VAR_cap</v>
          </cell>
          <cell r="C763" t="str">
            <v>-</v>
          </cell>
          <cell r="E763">
            <v>1.3747147245805199E-6</v>
          </cell>
          <cell r="F763">
            <v>2.3013296223020701E-6</v>
          </cell>
          <cell r="G763">
            <v>1.4082759580560015E-8</v>
          </cell>
        </row>
        <row r="764">
          <cell r="A764" t="str">
            <v>T_B_u-ICENGA-S2</v>
          </cell>
          <cell r="B764" t="str">
            <v>VAR_fout</v>
          </cell>
          <cell r="C764" t="str">
            <v>CO2_T</v>
          </cell>
          <cell r="E764">
            <v>1.8661438832161401E-2</v>
          </cell>
          <cell r="F764">
            <v>6.4330587053211E-2</v>
          </cell>
        </row>
        <row r="765">
          <cell r="A765" t="str">
            <v>T_B_u-ICENGA-S2</v>
          </cell>
          <cell r="B765" t="str">
            <v>VAR_fout</v>
          </cell>
          <cell r="C765" t="str">
            <v>TPBSu</v>
          </cell>
          <cell r="E765">
            <v>2.8123872349022704E-5</v>
          </cell>
          <cell r="F765">
            <v>1.0020929954362488E-4</v>
          </cell>
        </row>
        <row r="766">
          <cell r="A766" t="str">
            <v>T_B_u-ICENGA-S2</v>
          </cell>
          <cell r="B766" t="str">
            <v>VAR_fin</v>
          </cell>
          <cell r="C766" t="str">
            <v>TNGA</v>
          </cell>
          <cell r="E766">
            <v>3.3087657503832216E-4</v>
          </cell>
          <cell r="F766">
            <v>1.140613245624309E-3</v>
          </cell>
        </row>
        <row r="767">
          <cell r="A767" t="str">
            <v>T_B_u-ICENGA-S2</v>
          </cell>
          <cell r="B767" t="str">
            <v>VAR_ncap</v>
          </cell>
          <cell r="C767" t="str">
            <v>-</v>
          </cell>
          <cell r="E767">
            <v>6.7583577167395903E-7</v>
          </cell>
          <cell r="F767">
            <v>1.27777207315646E-6</v>
          </cell>
        </row>
        <row r="768">
          <cell r="A768" t="str">
            <v>T_B_u-ICENGA-S2</v>
          </cell>
          <cell r="B768" t="str">
            <v>VAR_cap</v>
          </cell>
          <cell r="C768" t="str">
            <v>-</v>
          </cell>
          <cell r="E768">
            <v>6.7583577167395903E-7</v>
          </cell>
          <cell r="F768">
            <v>1.95360784483042E-6</v>
          </cell>
          <cell r="G768">
            <v>6.3913290853600064E-9</v>
          </cell>
        </row>
        <row r="769">
          <cell r="A769" t="str">
            <v>T_B_c-ICEDSLEXT</v>
          </cell>
          <cell r="B769" t="str">
            <v>VAR_fout</v>
          </cell>
          <cell r="C769" t="str">
            <v>CO2_T</v>
          </cell>
          <cell r="D769">
            <v>0.44179793428582598</v>
          </cell>
          <cell r="E769">
            <v>0.44075566304042602</v>
          </cell>
          <cell r="F769">
            <v>0.43748897233966999</v>
          </cell>
        </row>
        <row r="770">
          <cell r="A770" t="str">
            <v>T_B_c-ICEDSLEXT</v>
          </cell>
          <cell r="B770" t="str">
            <v>VAR_fout</v>
          </cell>
          <cell r="C770" t="str">
            <v>TPBSc</v>
          </cell>
          <cell r="D770">
            <v>5.9972711000600629E-2</v>
          </cell>
          <cell r="E770">
            <v>4.7982397149128934E-2</v>
          </cell>
          <cell r="F770">
            <v>2.9985256838075548E-2</v>
          </cell>
        </row>
        <row r="771">
          <cell r="A771" t="str">
            <v>T_B_c-ICEDSLEXT</v>
          </cell>
          <cell r="B771" t="str">
            <v>VAR_fin</v>
          </cell>
          <cell r="C771" t="str">
            <v>TDSL</v>
          </cell>
          <cell r="D771">
            <v>6.0272569479648879E-3</v>
          </cell>
          <cell r="E771">
            <v>6.0130376949580604E-3</v>
          </cell>
          <cell r="F771">
            <v>5.9684716553843132E-3</v>
          </cell>
        </row>
        <row r="772">
          <cell r="A772" t="str">
            <v>T_B_c-ICEDSLEXT</v>
          </cell>
          <cell r="B772" t="str">
            <v>VAR_cap</v>
          </cell>
          <cell r="C772" t="str">
            <v>-</v>
          </cell>
          <cell r="D772">
            <v>1.30332047521267E-3</v>
          </cell>
          <cell r="E772">
            <v>1.04265638017014E-3</v>
          </cell>
          <cell r="F772">
            <v>6.5160517519927054E-4</v>
          </cell>
        </row>
        <row r="773">
          <cell r="A773" t="str">
            <v>T_B_u-ICENGA-S3</v>
          </cell>
          <cell r="B773" t="str">
            <v>VAR_fout</v>
          </cell>
          <cell r="C773" t="str">
            <v>CO2_T</v>
          </cell>
          <cell r="E773">
            <v>2.04127599471659E-2</v>
          </cell>
          <cell r="F773">
            <v>1.5289821311019667</v>
          </cell>
        </row>
        <row r="774">
          <cell r="A774" t="str">
            <v>T_B_u-ICENGA-S3</v>
          </cell>
          <cell r="B774" t="str">
            <v>VAR_fout</v>
          </cell>
          <cell r="C774" t="str">
            <v>TPBSu</v>
          </cell>
          <cell r="E774">
            <v>2.0420770674666534E-5</v>
          </cell>
          <cell r="F774">
            <v>1.6078337371421786E-3</v>
          </cell>
        </row>
        <row r="775">
          <cell r="A775" t="str">
            <v>T_B_u-ICENGA-S3</v>
          </cell>
          <cell r="B775" t="str">
            <v>VAR_fin</v>
          </cell>
          <cell r="C775" t="str">
            <v>TNGA</v>
          </cell>
          <cell r="E775">
            <v>3.619283678575519E-4</v>
          </cell>
          <cell r="F775">
            <v>2.7109612253580963E-2</v>
          </cell>
        </row>
        <row r="776">
          <cell r="A776" t="str">
            <v>T_B_u-ICENGA-S3</v>
          </cell>
          <cell r="B776" t="str">
            <v>VAR_ncap</v>
          </cell>
          <cell r="C776" t="str">
            <v>-</v>
          </cell>
          <cell r="E776">
            <v>4.7820663077699904E-7</v>
          </cell>
          <cell r="F776">
            <v>2.9867087558444901E-5</v>
          </cell>
        </row>
        <row r="777">
          <cell r="A777" t="str">
            <v>T_B_u-ICENGA-S3</v>
          </cell>
          <cell r="B777" t="str">
            <v>VAR_cap</v>
          </cell>
          <cell r="C777" t="str">
            <v>-</v>
          </cell>
          <cell r="E777">
            <v>4.7820663077699904E-7</v>
          </cell>
          <cell r="F777">
            <v>3.0345294189221901E-5</v>
          </cell>
          <cell r="G777">
            <v>1.7885621205992173E-9</v>
          </cell>
        </row>
        <row r="778">
          <cell r="A778" t="str">
            <v>T_B_u-ICENGA-S4</v>
          </cell>
          <cell r="B778" t="str">
            <v>VAR_fout</v>
          </cell>
          <cell r="C778" t="str">
            <v>CO2_T</v>
          </cell>
          <cell r="E778">
            <v>1.1954467849023601E-3</v>
          </cell>
          <cell r="F778">
            <v>4.38852393590427E-3</v>
          </cell>
        </row>
        <row r="779">
          <cell r="A779" t="str">
            <v>T_B_u-ICENGA-S4</v>
          </cell>
          <cell r="B779" t="str">
            <v>VAR_fout</v>
          </cell>
          <cell r="C779" t="str">
            <v>TPBSu</v>
          </cell>
          <cell r="E779">
            <v>7.9885429910765822E-7</v>
          </cell>
          <cell r="F779">
            <v>3.0262657495837229E-6</v>
          </cell>
        </row>
        <row r="780">
          <cell r="A780" t="str">
            <v>T_B_u-ICENGA-S4</v>
          </cell>
          <cell r="B780" t="str">
            <v>VAR_fin</v>
          </cell>
          <cell r="C780" t="str">
            <v>TNGA</v>
          </cell>
          <cell r="E780">
            <v>2.1195864980538336E-5</v>
          </cell>
          <cell r="F780">
            <v>7.781070808340898E-5</v>
          </cell>
        </row>
        <row r="781">
          <cell r="A781" t="str">
            <v>T_B_u-ICENGA-S4</v>
          </cell>
          <cell r="B781" t="str">
            <v>VAR_ncap</v>
          </cell>
          <cell r="C781" t="str">
            <v>-</v>
          </cell>
          <cell r="E781">
            <v>3.3969820000565601E-8</v>
          </cell>
          <cell r="F781">
            <v>4.9439362733706199E-8</v>
          </cell>
        </row>
        <row r="782">
          <cell r="A782" t="str">
            <v>T_B_u-ICENGA-S4</v>
          </cell>
          <cell r="B782" t="str">
            <v>VAR_cap</v>
          </cell>
          <cell r="C782" t="str">
            <v>-</v>
          </cell>
          <cell r="E782">
            <v>3.3969820000565601E-8</v>
          </cell>
          <cell r="F782">
            <v>8.3409182734271806E-8</v>
          </cell>
          <cell r="G782">
            <v>9.5809541243639748E-10</v>
          </cell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18.873073128937065</v>
          </cell>
          <cell r="C9">
            <v>21.778144888896051</v>
          </cell>
          <cell r="D9">
            <v>31.839441606679685</v>
          </cell>
          <cell r="E9">
            <v>60.120259082533238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82.760002789422501</v>
          </cell>
          <cell r="C14">
            <v>82.759969493476717</v>
          </cell>
          <cell r="D14">
            <v>76.101858262133618</v>
          </cell>
          <cell r="E14">
            <v>69.634768348065151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7">
          <cell r="B17">
            <v>12.841921281761417</v>
          </cell>
          <cell r="C17">
            <v>16.035347940425574</v>
          </cell>
          <cell r="D17">
            <v>1.9950319987947822</v>
          </cell>
          <cell r="E17">
            <v>12.750222360657983</v>
          </cell>
        </row>
        <row r="18">
          <cell r="B18">
            <v>3.9602117544484207E-2</v>
          </cell>
          <cell r="C18">
            <v>1.5129515172678207E-4</v>
          </cell>
          <cell r="D18">
            <v>3.6958027479708595E-3</v>
          </cell>
          <cell r="E18">
            <v>6.7804312634714068E-4</v>
          </cell>
        </row>
        <row r="19">
          <cell r="B19">
            <v>6.5070005923053778</v>
          </cell>
          <cell r="C19">
            <v>7.3027688248977967</v>
          </cell>
          <cell r="D19">
            <v>8.1297111475369732</v>
          </cell>
          <cell r="E19">
            <v>7.4043110724754833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0.96588280742748445</v>
          </cell>
          <cell r="C24">
            <v>2.8059471014246066E-3</v>
          </cell>
          <cell r="D24">
            <v>3.4951461761179078E-3</v>
          </cell>
          <cell r="E24">
            <v>0</v>
          </cell>
        </row>
        <row r="25">
          <cell r="B25">
            <v>0.39562051299735207</v>
          </cell>
          <cell r="C25">
            <v>4.6629069746817894E-2</v>
          </cell>
          <cell r="D25">
            <v>5.3338835452502781E-4</v>
          </cell>
          <cell r="E25">
            <v>0.92524022744510137</v>
          </cell>
        </row>
        <row r="26">
          <cell r="B26">
            <v>1.547548754420579</v>
          </cell>
          <cell r="C26">
            <v>1.4173231612348918</v>
          </cell>
          <cell r="D26">
            <v>1.321579660114764</v>
          </cell>
          <cell r="E26">
            <v>1.4296754353038805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1.8014121264497893E-3</v>
          </cell>
          <cell r="C28">
            <v>1.1850233977799911E-4</v>
          </cell>
          <cell r="D28">
            <v>6.9356284553894192E-4</v>
          </cell>
          <cell r="E28">
            <v>9.4202712902187523E-4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0.66997057947010752</v>
          </cell>
          <cell r="C39">
            <v>9.0842909446420594E-2</v>
          </cell>
          <cell r="D39">
            <v>0.541985599540868</v>
          </cell>
          <cell r="E39">
            <v>0.66939607373008947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7.0486401226275919E-2</v>
          </cell>
          <cell r="C41">
            <v>0.17125964002307831</v>
          </cell>
          <cell r="D41">
            <v>0.13998611686209467</v>
          </cell>
          <cell r="E41">
            <v>0.16991219858824239</v>
          </cell>
        </row>
        <row r="42">
          <cell r="B42">
            <v>0.17264928018583237</v>
          </cell>
          <cell r="C42">
            <v>0.52164290988495643</v>
          </cell>
          <cell r="D42">
            <v>1.1583517056424442</v>
          </cell>
          <cell r="E42">
            <v>1.8304820283237186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0.23004635068839527</v>
          </cell>
          <cell r="C44">
            <v>0.23015797348624767</v>
          </cell>
          <cell r="D44">
            <v>1.269123898617128E-3</v>
          </cell>
          <cell r="E44">
            <v>1.3064910586346094E-3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3.776468495388307E-2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5.7305147420061789E-4</v>
          </cell>
        </row>
        <row r="48">
          <cell r="B48">
            <v>1.6198200594599303E-2</v>
          </cell>
          <cell r="C48">
            <v>5.4892708298964477E-3</v>
          </cell>
          <cell r="D48">
            <v>1.0402426896719216E-2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2.9942289115529794E-2</v>
          </cell>
          <cell r="C51">
            <v>3.005125198749773E-2</v>
          </cell>
          <cell r="D51">
            <v>7.2445999455099219E-2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0.95936871776915844</v>
          </cell>
          <cell r="C54">
            <v>1.1059702189378271</v>
          </cell>
          <cell r="D54">
            <v>1.1059691502201241</v>
          </cell>
          <cell r="E54">
            <v>1.1059761397393844</v>
          </cell>
        </row>
        <row r="55">
          <cell r="B55">
            <v>0.5944065807918173</v>
          </cell>
          <cell r="C55">
            <v>0.62590301078518684</v>
          </cell>
          <cell r="D55">
            <v>3.4489305936688121E-2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9.4604505356707294E-2</v>
          </cell>
          <cell r="C70">
            <v>8.2012065258469605E-3</v>
          </cell>
          <cell r="D70">
            <v>8.6205848938974722E-3</v>
          </cell>
          <cell r="E70">
            <v>5.7187808583187685E-2</v>
          </cell>
        </row>
        <row r="71">
          <cell r="B71">
            <v>5.2209829490788709E-3</v>
          </cell>
          <cell r="C71">
            <v>4.1544246318369607E-3</v>
          </cell>
          <cell r="D71">
            <v>1.4085063157461192E-2</v>
          </cell>
          <cell r="E71">
            <v>7.8275653384326821E-2</v>
          </cell>
        </row>
        <row r="72">
          <cell r="B72">
            <v>5.1249944686922125E-3</v>
          </cell>
          <cell r="C72">
            <v>4.0007776764152325E-3</v>
          </cell>
          <cell r="D72">
            <v>1.3978425514363424E-2</v>
          </cell>
          <cell r="E72">
            <v>5.7845381253948447E-2</v>
          </cell>
        </row>
        <row r="73">
          <cell r="B73">
            <v>1.5900734157252778E-3</v>
          </cell>
          <cell r="C73">
            <v>1.5868089862718807E-3</v>
          </cell>
          <cell r="D73">
            <v>7.8341000389008875E-2</v>
          </cell>
          <cell r="E73">
            <v>0.18008369113995573</v>
          </cell>
        </row>
        <row r="74">
          <cell r="B74">
            <v>3.20428953309019E-3</v>
          </cell>
          <cell r="C74">
            <v>3.1976071807090691E-3</v>
          </cell>
          <cell r="D74">
            <v>0.16528225795509538</v>
          </cell>
          <cell r="E74">
            <v>0.37223038918590706</v>
          </cell>
        </row>
        <row r="75">
          <cell r="B75">
            <v>3.1266018232834836E-3</v>
          </cell>
          <cell r="C75">
            <v>3.119658294178553E-3</v>
          </cell>
          <cell r="D75">
            <v>2.4702475163429764E-2</v>
          </cell>
          <cell r="E75">
            <v>3.7909580941733009E-2</v>
          </cell>
        </row>
        <row r="76">
          <cell r="B76">
            <v>1.6365712181493251E-3</v>
          </cell>
          <cell r="C76">
            <v>1.6333098845971138E-3</v>
          </cell>
          <cell r="D76">
            <v>0.10205967324869938</v>
          </cell>
          <cell r="E76">
            <v>0.32057040488871552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1.8035550624362757</v>
          </cell>
          <cell r="C91">
            <v>5.3917815851516728E-3</v>
          </cell>
          <cell r="D91">
            <v>7.0007647796376136E-3</v>
          </cell>
          <cell r="E91">
            <v>0</v>
          </cell>
        </row>
        <row r="92">
          <cell r="B92">
            <v>1.291182291497539</v>
          </cell>
          <cell r="C92">
            <v>0.37053463239347428</v>
          </cell>
          <cell r="D92">
            <v>0.24996367111253251</v>
          </cell>
          <cell r="E92">
            <v>2.4197264413727151</v>
          </cell>
        </row>
        <row r="93">
          <cell r="B93">
            <v>14.461264109755597</v>
          </cell>
          <cell r="C93">
            <v>13.051649081885905</v>
          </cell>
          <cell r="D93">
            <v>12.04563506630919</v>
          </cell>
          <cell r="E93">
            <v>12.790296143026849</v>
          </cell>
        </row>
        <row r="94">
          <cell r="B94">
            <v>9.2644052217417672E-3</v>
          </cell>
          <cell r="C94">
            <v>6.0944060457256664E-4</v>
          </cell>
          <cell r="D94">
            <v>3.566894634200271E-3</v>
          </cell>
          <cell r="E94">
            <v>4.8447109492553552E-3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1.7329074025118092</v>
          </cell>
          <cell r="C97">
            <v>0.2095831136311927</v>
          </cell>
          <cell r="D97">
            <v>8.7142257099942326E-4</v>
          </cell>
          <cell r="E97">
            <v>0</v>
          </cell>
        </row>
        <row r="98">
          <cell r="B98">
            <v>0.90177782070539469</v>
          </cell>
          <cell r="C98">
            <v>0.90177527514528077</v>
          </cell>
          <cell r="D98">
            <v>0.90177679654534826</v>
          </cell>
          <cell r="E98">
            <v>0.90177963885768497</v>
          </cell>
        </row>
        <row r="99">
          <cell r="B99">
            <v>2.9000225438198712</v>
          </cell>
          <cell r="C99">
            <v>7.6036144987900212</v>
          </cell>
          <cell r="D99">
            <v>7.056157207972773</v>
          </cell>
          <cell r="E99">
            <v>2.1218324176479388</v>
          </cell>
        </row>
        <row r="100">
          <cell r="B100">
            <v>0.18407183057608933</v>
          </cell>
          <cell r="C100">
            <v>0.18575860816385448</v>
          </cell>
          <cell r="D100">
            <v>0.1851905022463034</v>
          </cell>
          <cell r="E100">
            <v>0.18495312832747493</v>
          </cell>
        </row>
        <row r="101">
          <cell r="B101">
            <v>1.2239490554796482</v>
          </cell>
          <cell r="C101">
            <v>1.1046123929723608</v>
          </cell>
          <cell r="D101">
            <v>0.94706971953345853</v>
          </cell>
          <cell r="E101">
            <v>0.73282714695160733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6.568231524479816E-5</v>
          </cell>
        </row>
        <row r="104">
          <cell r="B104">
            <v>0.92913892525545705</v>
          </cell>
          <cell r="C104">
            <v>2.069725559294302</v>
          </cell>
          <cell r="D104">
            <v>1.4615311602964836</v>
          </cell>
          <cell r="E104">
            <v>1.3081997356338326</v>
          </cell>
        </row>
        <row r="105">
          <cell r="B105">
            <v>0.66028478774414656</v>
          </cell>
          <cell r="C105">
            <v>1.8166837899180892</v>
          </cell>
          <cell r="D105">
            <v>3.4401961928413129</v>
          </cell>
          <cell r="E105">
            <v>3.8721735214540298</v>
          </cell>
        </row>
        <row r="106">
          <cell r="B106">
            <v>1.9348329464724143</v>
          </cell>
          <cell r="C106">
            <v>1.8587704969302237</v>
          </cell>
          <cell r="D106">
            <v>9.6126317261569661E-3</v>
          </cell>
          <cell r="E106">
            <v>8.8029153962608606E-3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2.8652573710030916E-4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2.8228148349367144E-2</v>
          </cell>
        </row>
        <row r="109">
          <cell r="B109">
            <v>3.8995668098109483E-2</v>
          </cell>
          <cell r="C109">
            <v>1.3081309956536313E-2</v>
          </cell>
          <cell r="D109">
            <v>2.4409927665052813E-2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6.5047041871668196E-2</v>
          </cell>
          <cell r="C112">
            <v>6.4648187608966443E-2</v>
          </cell>
          <cell r="D112">
            <v>0.15355221033931393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1.4243144673105808</v>
          </cell>
          <cell r="C115">
            <v>1.5783616651674248</v>
          </cell>
          <cell r="D115">
            <v>1.4829559701235877</v>
          </cell>
          <cell r="E115">
            <v>1.3239573874912396</v>
          </cell>
        </row>
        <row r="116">
          <cell r="B116">
            <v>0.69258640293380602</v>
          </cell>
          <cell r="C116">
            <v>0.75024212052094263</v>
          </cell>
          <cell r="D116">
            <v>4.3072991597041317E-2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5.8811261544799898</v>
          </cell>
          <cell r="D123">
            <v>6.0593319029136463</v>
          </cell>
          <cell r="E123">
            <v>10.191924562601322</v>
          </cell>
        </row>
      </sheetData>
      <sheetData sheetId="59">
        <row r="13">
          <cell r="B13">
            <v>16.052402543639801</v>
          </cell>
          <cell r="C13">
            <v>20.044186106467407</v>
          </cell>
          <cell r="D13">
            <v>2.4937905062331391</v>
          </cell>
          <cell r="E13">
            <v>15.937777199650721</v>
          </cell>
        </row>
        <row r="14">
          <cell r="B14">
            <v>250.94818946672044</v>
          </cell>
          <cell r="C14">
            <v>253.2998850662751</v>
          </cell>
          <cell r="D14">
            <v>232.95381994855762</v>
          </cell>
          <cell r="E14">
            <v>210.99019673418002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8">
          <cell r="B18">
            <v>0.12564086842017971</v>
          </cell>
          <cell r="C18">
            <v>1.4020265991828238E-3</v>
          </cell>
          <cell r="D18">
            <v>1.241361486941066E-2</v>
          </cell>
          <cell r="E18">
            <v>2.7090183728370261E-3</v>
          </cell>
        </row>
        <row r="19">
          <cell r="B19">
            <v>18.203592135659559</v>
          </cell>
          <cell r="C19">
            <v>20.429785315625889</v>
          </cell>
          <cell r="D19">
            <v>22.743189248436227</v>
          </cell>
          <cell r="E19">
            <v>20.713853779001781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2.5746946451081749</v>
          </cell>
          <cell r="M22">
            <v>0.63426841412173951</v>
          </cell>
          <cell r="N22">
            <v>0.51212331637488995</v>
          </cell>
          <cell r="O22">
            <v>0.46637739253795285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6.8342865429719291E-2</v>
          </cell>
          <cell r="M23">
            <v>2.6755381611762472E-2</v>
          </cell>
          <cell r="N23">
            <v>2.9563207466162242E-2</v>
          </cell>
          <cell r="O23">
            <v>4.8650686750149948E-2</v>
          </cell>
        </row>
        <row r="24">
          <cell r="B24">
            <v>3.6851700531721989</v>
          </cell>
          <cell r="C24">
            <v>1.2986774479503482E-2</v>
          </cell>
          <cell r="D24">
            <v>1.712547732467827E-2</v>
          </cell>
          <cell r="E24">
            <v>0</v>
          </cell>
        </row>
        <row r="25">
          <cell r="B25">
            <v>1.6223594355540056</v>
          </cell>
          <cell r="C25">
            <v>0.18704241613731268</v>
          </cell>
          <cell r="D25">
            <v>2.4431855706411811E-3</v>
          </cell>
          <cell r="E25">
            <v>3.3636478993893646</v>
          </cell>
        </row>
        <row r="26">
          <cell r="B26">
            <v>40.317912821489628</v>
          </cell>
          <cell r="C26">
            <v>37.873387164446889</v>
          </cell>
          <cell r="D26">
            <v>35.713642068537332</v>
          </cell>
          <cell r="E26">
            <v>39.470562206313112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2.4034513806718772E-2</v>
          </cell>
          <cell r="C28">
            <v>2.0514187101665421E-3</v>
          </cell>
          <cell r="D28">
            <v>7.4775452890249007E-3</v>
          </cell>
          <cell r="E28">
            <v>9.3620579025621604E-3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1.9242710196335757</v>
          </cell>
          <cell r="C39">
            <v>0.25831869106264349</v>
          </cell>
          <cell r="D39">
            <v>1.5278677404922807</v>
          </cell>
          <cell r="E39">
            <v>1.8596224671526917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0.30107734513854689</v>
          </cell>
          <cell r="C41">
            <v>0.69449541677485049</v>
          </cell>
          <cell r="D41">
            <v>0.55450221173631142</v>
          </cell>
          <cell r="E41">
            <v>0.64531003970673007</v>
          </cell>
        </row>
        <row r="42">
          <cell r="B42">
            <v>0.87404426692741732</v>
          </cell>
          <cell r="C42">
            <v>2.3100620572554043</v>
          </cell>
          <cell r="D42">
            <v>4.3222216934843303</v>
          </cell>
          <cell r="E42">
            <v>5.4076018204369793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3.7119642076199248</v>
          </cell>
          <cell r="C44">
            <v>3.7138509241732818</v>
          </cell>
          <cell r="D44">
            <v>2.0478773894587153E-2</v>
          </cell>
          <cell r="E44">
            <v>2.1081736002474882E-2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7.6292292836127387E-2</v>
          </cell>
        </row>
        <row r="47">
          <cell r="B47">
            <v>0</v>
          </cell>
        </row>
        <row r="48">
          <cell r="B48">
            <v>8.0358762468453804E-2</v>
          </cell>
          <cell r="C48">
            <v>2.1000627520339876E-2</v>
          </cell>
          <cell r="D48">
            <v>4.5980783002067593E-2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0.12584214152753062</v>
          </cell>
          <cell r="C51">
            <v>0.10339236586216802</v>
          </cell>
          <cell r="D51">
            <v>0.25962237556906259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2.6453977466877752</v>
          </cell>
          <cell r="C54">
            <v>3.0463295993283541</v>
          </cell>
          <cell r="D54">
            <v>3.0432886410802027</v>
          </cell>
          <cell r="E54">
            <v>3.0324895825530755</v>
          </cell>
        </row>
        <row r="55">
          <cell r="B55">
            <v>1.6712080479074065</v>
          </cell>
          <cell r="C55">
            <v>1.7387044103601106</v>
          </cell>
          <cell r="D55">
            <v>9.8455251682803793E-2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0.13515494227332436</v>
          </cell>
          <cell r="C63">
            <v>1.17202161078738E-2</v>
          </cell>
          <cell r="D63">
            <v>1.2315290778212263E-2</v>
          </cell>
          <cell r="E63">
            <v>8.1697957712063743E-2</v>
          </cell>
        </row>
        <row r="64">
          <cell r="B64">
            <v>6.0310360681182732E-3</v>
          </cell>
          <cell r="C64">
            <v>4.7984440365173913E-3</v>
          </cell>
          <cell r="D64">
            <v>1.6245153355764139E-2</v>
          </cell>
          <cell r="E64">
            <v>9.0279813957836144E-2</v>
          </cell>
        </row>
        <row r="65">
          <cell r="B65">
            <v>5.7323394295997173E-3</v>
          </cell>
          <cell r="C65">
            <v>4.4740075196785523E-3</v>
          </cell>
          <cell r="D65">
            <v>1.5631552943467776E-2</v>
          </cell>
          <cell r="E65">
            <v>6.4685427160440914E-2</v>
          </cell>
        </row>
        <row r="66">
          <cell r="B66">
            <v>1.7631134071559951E-3</v>
          </cell>
          <cell r="C66">
            <v>1.7592560780321244E-3</v>
          </cell>
          <cell r="D66">
            <v>8.6635137138505874E-2</v>
          </cell>
          <cell r="E66">
            <v>0.1991485070893306</v>
          </cell>
        </row>
        <row r="67">
          <cell r="B67">
            <v>3.5529253781443871E-3</v>
          </cell>
          <cell r="C67">
            <v>3.5450262668885292E-3</v>
          </cell>
          <cell r="D67">
            <v>0.18278088888476535</v>
          </cell>
          <cell r="E67">
            <v>0.41163706885430196</v>
          </cell>
        </row>
        <row r="68">
          <cell r="B68">
            <v>3.4670132747589696E-3</v>
          </cell>
          <cell r="C68">
            <v>3.4588253373588141E-3</v>
          </cell>
          <cell r="D68">
            <v>2.7318588324524641E-2</v>
          </cell>
          <cell r="E68">
            <v>4.1924001278596079E-2</v>
          </cell>
        </row>
        <row r="69">
          <cell r="B69">
            <v>1.8145336899649111E-3</v>
          </cell>
          <cell r="C69">
            <v>1.8106724295000329E-3</v>
          </cell>
          <cell r="D69">
            <v>0.11286478091353963</v>
          </cell>
          <cell r="E69">
            <v>0.35450781818066895</v>
          </cell>
        </row>
        <row r="90">
          <cell r="B90">
            <v>2.028085013227257</v>
          </cell>
          <cell r="C90">
            <v>0.24528279535584216</v>
          </cell>
          <cell r="D90">
            <v>1.0198577568946892E-3</v>
          </cell>
          <cell r="E90">
            <v>0</v>
          </cell>
        </row>
        <row r="91">
          <cell r="B91">
            <v>1.1839546275040558</v>
          </cell>
          <cell r="C91">
            <v>1.1839512854084648</v>
          </cell>
          <cell r="D91">
            <v>1.1839532828723747</v>
          </cell>
          <cell r="E91">
            <v>1.183957014577421</v>
          </cell>
        </row>
        <row r="92">
          <cell r="B92">
            <v>1.4500112719099356</v>
          </cell>
          <cell r="C92">
            <v>3.8018072493950106</v>
          </cell>
          <cell r="D92">
            <v>3.5280786039863865</v>
          </cell>
          <cell r="E92">
            <v>1.0609162088239694</v>
          </cell>
        </row>
        <row r="93">
          <cell r="B93">
            <v>0.2154260062641343</v>
          </cell>
          <cell r="C93">
            <v>0.21740010386533087</v>
          </cell>
          <cell r="D93">
            <v>0.21673522869909792</v>
          </cell>
          <cell r="E93">
            <v>0.21645742130638385</v>
          </cell>
        </row>
        <row r="94">
          <cell r="B94">
            <v>1.7484986506852089</v>
          </cell>
          <cell r="C94">
            <v>1.57801770424623</v>
          </cell>
          <cell r="D94">
            <v>1.3529567421906554</v>
          </cell>
          <cell r="E94">
            <v>1.0468959242165832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1.3136463048959627E-4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1.9603753848266612</v>
          </cell>
          <cell r="D97">
            <v>2.0197773009712137</v>
          </cell>
          <cell r="E97">
            <v>3.397308187533771</v>
          </cell>
        </row>
      </sheetData>
      <sheetData sheetId="60">
        <row r="14">
          <cell r="B14">
            <v>3.0805586627635488</v>
          </cell>
          <cell r="C14">
            <v>3.0805583384938005</v>
          </cell>
          <cell r="D14">
            <v>2.8402406802836504</v>
          </cell>
          <cell r="E14">
            <v>2.6090413436622204</v>
          </cell>
        </row>
        <row r="15">
          <cell r="B15">
            <v>7.3394300010600002</v>
          </cell>
          <cell r="C15">
            <v>7.3422440907967568</v>
          </cell>
          <cell r="D15">
            <v>7.3876415056033293</v>
          </cell>
          <cell r="E15">
            <v>7.4151452580208446</v>
          </cell>
        </row>
        <row r="16">
          <cell r="B16">
            <v>4.7247299999999992</v>
          </cell>
          <cell r="C16">
            <v>4.8076724486492042</v>
          </cell>
          <cell r="D16">
            <v>4.8649726226414653</v>
          </cell>
          <cell r="E16">
            <v>4.8722739174383447</v>
          </cell>
        </row>
        <row r="17">
          <cell r="B17">
            <v>3.3394499999999998</v>
          </cell>
          <cell r="C17">
            <v>3.9713087310204425</v>
          </cell>
          <cell r="D17">
            <v>4.3597297848993923</v>
          </cell>
          <cell r="E17">
            <v>4.3597297848993923</v>
          </cell>
        </row>
        <row r="18">
          <cell r="B18">
            <v>2.0373562600045303E-2</v>
          </cell>
          <cell r="C18">
            <v>1.9302959985420851E-2</v>
          </cell>
          <cell r="D18">
            <v>1.0947053177234274E-2</v>
          </cell>
          <cell r="E18">
            <v>3.7187376708758602E-2</v>
          </cell>
        </row>
        <row r="19">
          <cell r="B19">
            <v>0.2725042151764665</v>
          </cell>
          <cell r="C19">
            <v>0.27250200379123268</v>
          </cell>
          <cell r="D19">
            <v>0.30328432895804347</v>
          </cell>
          <cell r="E19">
            <v>0.27622345481929328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4.9830330951298497E-2</v>
          </cell>
          <cell r="C24">
            <v>9.5748858947823645E-4</v>
          </cell>
          <cell r="D24">
            <v>9.4906585205793703E-4</v>
          </cell>
          <cell r="E24">
            <v>-3.9367278556468044E-7</v>
          </cell>
        </row>
        <row r="25">
          <cell r="B25">
            <v>1.5027097372359299E-2</v>
          </cell>
          <cell r="C25">
            <v>8.5086461723831788E-3</v>
          </cell>
          <cell r="D25">
            <v>9.6494158690986487E-5</v>
          </cell>
          <cell r="E25">
            <v>3.4523186552553597E-2</v>
          </cell>
        </row>
        <row r="26">
          <cell r="B26">
            <v>7.8399999999999997E-2</v>
          </cell>
          <cell r="C26">
            <v>7.1001458538390086E-2</v>
          </cell>
          <cell r="D26">
            <v>7.0548781405743152E-2</v>
          </cell>
          <cell r="E26">
            <v>7.054861861871442E-2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9.5312583952047898E-3</v>
          </cell>
          <cell r="C28">
            <v>1.4283683659880447E-3</v>
          </cell>
          <cell r="D28">
            <v>1.359134161065376E-3</v>
          </cell>
          <cell r="E28">
            <v>1.2224088039710212E-3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9.0660047929208162E-2</v>
          </cell>
          <cell r="D33">
            <v>8.3655965423137163E-2</v>
          </cell>
          <cell r="E33">
            <v>0.34087530220510831</v>
          </cell>
        </row>
        <row r="34">
          <cell r="B34">
            <v>0</v>
          </cell>
          <cell r="C34">
            <v>0</v>
          </cell>
          <cell r="D34">
            <v>4.4924587249207101E-2</v>
          </cell>
          <cell r="E34">
            <v>9.768270755578376E-2</v>
          </cell>
        </row>
        <row r="35">
          <cell r="B35">
            <v>1.1186210000000001</v>
          </cell>
          <cell r="C35">
            <v>1.6529270800767153</v>
          </cell>
          <cell r="D35">
            <v>3.5611851761784199</v>
          </cell>
          <cell r="E35">
            <v>5.6146861982526</v>
          </cell>
        </row>
        <row r="36">
          <cell r="B36">
            <v>0.67885700000000004</v>
          </cell>
          <cell r="C36">
            <v>1.1559155872428111</v>
          </cell>
          <cell r="D36">
            <v>1.9187166048159163</v>
          </cell>
          <cell r="E36">
            <v>3.2245944574939558</v>
          </cell>
        </row>
        <row r="37">
          <cell r="B37">
            <v>0.27424799999999999</v>
          </cell>
          <cell r="C37">
            <v>0.43896291060517301</v>
          </cell>
          <cell r="D37">
            <v>0.48416895503164847</v>
          </cell>
          <cell r="E37">
            <v>0.47244677624033782</v>
          </cell>
        </row>
        <row r="38">
          <cell r="B38">
            <v>0.90292899999999998</v>
          </cell>
          <cell r="C38">
            <v>1.1231013231316065</v>
          </cell>
          <cell r="D38">
            <v>3.1799345355793003</v>
          </cell>
          <cell r="E38">
            <v>5.1607236247160593</v>
          </cell>
        </row>
        <row r="39">
          <cell r="B39">
            <v>2.9211495747356306E-2</v>
          </cell>
          <cell r="C39">
            <v>2.1605797541832561E-2</v>
          </cell>
          <cell r="D39">
            <v>2.1706828958819431E-2</v>
          </cell>
          <cell r="E39">
            <v>2.9515770819091295E-2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8.3040024032151726E-3</v>
          </cell>
          <cell r="C41">
            <v>2.0868379925520056E-2</v>
          </cell>
          <cell r="D41">
            <v>2.0867556207018724E-2</v>
          </cell>
          <cell r="E41">
            <v>2.0866575209567813E-2</v>
          </cell>
        </row>
        <row r="42">
          <cell r="B42">
            <v>6.3916909235043496E-3</v>
          </cell>
          <cell r="C42">
            <v>1.9291133128046423E-2</v>
          </cell>
          <cell r="D42">
            <v>4.2830963067901087E-2</v>
          </cell>
          <cell r="E42">
            <v>6.7682445836469693E-2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4.7776374914088753E-2</v>
          </cell>
          <cell r="C44">
            <v>9.4065908755634128E-3</v>
          </cell>
          <cell r="D44">
            <v>5.7311519220486218E-4</v>
          </cell>
          <cell r="E44">
            <v>5.6473860242294699E-4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4.1388459939899602E-3</v>
          </cell>
          <cell r="C48">
            <v>1.6570106311800874E-3</v>
          </cell>
          <cell r="D48">
            <v>1.6480470364210146E-3</v>
          </cell>
          <cell r="E48">
            <v>1.5886436391240625E-3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8.7357116145508097E-3</v>
          </cell>
          <cell r="C51">
            <v>9.0824452478351792E-3</v>
          </cell>
          <cell r="D51">
            <v>9.0815411619154587E-3</v>
          </cell>
          <cell r="E51">
            <v>3.050965129271499E-4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7.3512524726972894E-2</v>
          </cell>
          <cell r="C54">
            <v>8.4747257634949266E-2</v>
          </cell>
          <cell r="D54">
            <v>8.4746835443488711E-2</v>
          </cell>
          <cell r="E54">
            <v>8.4749088535111233E-2</v>
          </cell>
        </row>
        <row r="55">
          <cell r="B55">
            <v>6.5199833188994749E-2</v>
          </cell>
          <cell r="C55">
            <v>4.787875832378715E-2</v>
          </cell>
          <cell r="D55">
            <v>2.0805725468645009E-3</v>
          </cell>
          <cell r="E55">
            <v>3.0575504335469961E-4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9.9997978148670424E-2</v>
          </cell>
          <cell r="D63">
            <v>9.9997689390686539E-2</v>
          </cell>
          <cell r="E63">
            <v>9.999752899883417E-2</v>
          </cell>
        </row>
        <row r="64">
          <cell r="B64">
            <v>8.9249768425911499E-4</v>
          </cell>
          <cell r="C64">
            <v>8.9325737775757116E-4</v>
          </cell>
          <cell r="D64">
            <v>6.609030821311852E-3</v>
          </cell>
          <cell r="E64">
            <v>2.6577893794245737E-2</v>
          </cell>
        </row>
        <row r="65">
          <cell r="B65">
            <v>7.1107342805583904E-4</v>
          </cell>
          <cell r="C65">
            <v>7.1185824813393755E-4</v>
          </cell>
          <cell r="D65">
            <v>4.0956985725972674E-3</v>
          </cell>
          <cell r="E65">
            <v>1.3740575249159939E-2</v>
          </cell>
        </row>
        <row r="66">
          <cell r="B66">
            <v>6.507453594336495E-4</v>
          </cell>
          <cell r="C66">
            <v>6.5147022114194375E-4</v>
          </cell>
          <cell r="D66">
            <v>6.9507253372042083E-2</v>
          </cell>
          <cell r="E66">
            <v>0.11321610574650248</v>
          </cell>
        </row>
        <row r="67">
          <cell r="B67">
            <v>1.311601183637563E-3</v>
          </cell>
          <cell r="C67">
            <v>1.3130767636974103E-3</v>
          </cell>
          <cell r="D67">
            <v>0.19065663220069667</v>
          </cell>
          <cell r="E67">
            <v>0.33104524672642388</v>
          </cell>
        </row>
        <row r="68">
          <cell r="B68">
            <v>1.2797381200031653E-3</v>
          </cell>
          <cell r="C68">
            <v>1.2811290170960607E-3</v>
          </cell>
          <cell r="D68">
            <v>1.6814923179057851E-2</v>
          </cell>
          <cell r="E68">
            <v>1.6940757007204557E-2</v>
          </cell>
        </row>
        <row r="69">
          <cell r="B69">
            <v>6.701788674851601E-4</v>
          </cell>
          <cell r="C69">
            <v>6.7095498379959634E-4</v>
          </cell>
          <cell r="D69">
            <v>0.12410130236442038</v>
          </cell>
          <cell r="E69">
            <v>0.2081105907296982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2.8140897367560048E-3</v>
          </cell>
          <cell r="D15">
            <v>4.5401618180151232E-2</v>
          </cell>
          <cell r="E15">
            <v>0.23541818355363703</v>
          </cell>
        </row>
        <row r="16">
          <cell r="B16">
            <v>0</v>
          </cell>
          <cell r="C16">
            <v>6.0788264472295766E-4</v>
          </cell>
          <cell r="D16">
            <v>9.4443006539714977E-3</v>
          </cell>
          <cell r="E16">
            <v>1.3349711759144539E-3</v>
          </cell>
        </row>
        <row r="17">
          <cell r="B17">
            <v>0</v>
          </cell>
          <cell r="C17">
            <v>2.7978489939247401E-4</v>
          </cell>
          <cell r="D17">
            <v>2.2112815381042301E-7</v>
          </cell>
          <cell r="E17">
            <v>2.3423907880873499E-7</v>
          </cell>
        </row>
        <row r="18">
          <cell r="B18">
            <v>0</v>
          </cell>
          <cell r="C18">
            <v>9.9580250205404594E-6</v>
          </cell>
          <cell r="D18">
            <v>1.87075700387534E-4</v>
          </cell>
          <cell r="E18">
            <v>2.99934486212485E-2</v>
          </cell>
        </row>
        <row r="19">
          <cell r="B19">
            <v>0</v>
          </cell>
          <cell r="C19">
            <v>4.0707196678010802E-7</v>
          </cell>
          <cell r="D19">
            <v>3.0783424821491899E-2</v>
          </cell>
          <cell r="E19">
            <v>3.8564063429006701E-2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4.8927798363755904E-7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1.8966089547181999E-7</v>
          </cell>
          <cell r="D25">
            <v>1.1072613097310799E-5</v>
          </cell>
          <cell r="E25">
            <v>3.4427877582963798E-2</v>
          </cell>
        </row>
        <row r="26">
          <cell r="B26">
            <v>0</v>
          </cell>
          <cell r="C26">
            <v>1.9850769186164999E-7</v>
          </cell>
          <cell r="D26">
            <v>1.7982506723081001E-7</v>
          </cell>
          <cell r="E26">
            <v>8.3431704218900205E-7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3.0878581210042501E-6</v>
          </cell>
          <cell r="D28">
            <v>4.1169512583816897E-6</v>
          </cell>
          <cell r="E28">
            <v>5.2331230097848597E-6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7.1321598926009696E-3</v>
          </cell>
          <cell r="D33">
            <v>0.29200640875718398</v>
          </cell>
          <cell r="E33">
            <v>0.28588652815226001</v>
          </cell>
        </row>
        <row r="34">
          <cell r="B34">
            <v>0</v>
          </cell>
          <cell r="C34">
            <v>0</v>
          </cell>
          <cell r="D34">
            <v>0.1206573154216819</v>
          </cell>
          <cell r="E34">
            <v>3.066727268986574E-5</v>
          </cell>
        </row>
        <row r="35">
          <cell r="B35">
            <v>0</v>
          </cell>
          <cell r="C35">
            <v>6.5489665167177796E-8</v>
          </cell>
          <cell r="D35">
            <v>1.76796411068875</v>
          </cell>
          <cell r="E35">
            <v>2.1224169188782902</v>
          </cell>
        </row>
        <row r="36">
          <cell r="B36">
            <v>0</v>
          </cell>
          <cell r="C36">
            <v>1.5669564661115495E-5</v>
          </cell>
          <cell r="D36">
            <v>0.62954393525125529</v>
          </cell>
          <cell r="E36">
            <v>1.3427606876216533</v>
          </cell>
        </row>
        <row r="37">
          <cell r="B37">
            <v>0</v>
          </cell>
          <cell r="C37">
            <v>1.7593128759974223E-5</v>
          </cell>
          <cell r="D37">
            <v>1.0033619028885046E-3</v>
          </cell>
          <cell r="E37">
            <v>2.6089492073280101E-6</v>
          </cell>
        </row>
        <row r="38">
          <cell r="B38">
            <v>0</v>
          </cell>
          <cell r="C38">
            <v>6.1563596342027905E-8</v>
          </cell>
          <cell r="D38">
            <v>2.0047054740157</v>
          </cell>
          <cell r="E38">
            <v>2.0653589108960801</v>
          </cell>
        </row>
        <row r="39">
          <cell r="B39">
            <v>0</v>
          </cell>
          <cell r="C39">
            <v>6.99946625057882E-7</v>
          </cell>
          <cell r="D39">
            <v>1.01580203922671E-4</v>
          </cell>
          <cell r="E39">
            <v>2.28559918953378E-2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1.99366786751226E-2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1.7612367973031701E-2</v>
          </cell>
          <cell r="D42">
            <v>2.3540051802422302E-2</v>
          </cell>
          <cell r="E42">
            <v>2.48520199682945E-2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1.5776603041569099E-7</v>
          </cell>
          <cell r="D44">
            <v>9.9171801946892496E-8</v>
          </cell>
          <cell r="E44">
            <v>2.0250535968431999E-7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0</v>
          </cell>
          <cell r="C48">
            <v>9.6063766053741738E-4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0</v>
          </cell>
          <cell r="C51">
            <v>3.5510048648756489E-3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0</v>
          </cell>
          <cell r="C54">
            <v>2.6190767114477001E-2</v>
          </cell>
          <cell r="D54">
            <v>6.5682168913263096E-3</v>
          </cell>
          <cell r="E54">
            <v>1.2224376941758699E-2</v>
          </cell>
        </row>
        <row r="55">
          <cell r="B55">
            <v>0</v>
          </cell>
          <cell r="C55">
            <v>2.7173166157582501E-2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5.2157888224689704E-7</v>
          </cell>
          <cell r="D63">
            <v>5.1897878658279196E-7</v>
          </cell>
          <cell r="E63">
            <v>5.1284635732976201E-7</v>
          </cell>
        </row>
        <row r="64">
          <cell r="B64">
            <v>8.9249768425911499E-4</v>
          </cell>
          <cell r="C64">
            <v>1.25181825878667E-6</v>
          </cell>
          <cell r="D64">
            <v>5.7163117513129701E-3</v>
          </cell>
          <cell r="E64">
            <v>2.0208713622328799E-2</v>
          </cell>
        </row>
        <row r="65">
          <cell r="B65">
            <v>7.1107342805583904E-4</v>
          </cell>
          <cell r="C65">
            <v>1.10705882905383E-6</v>
          </cell>
          <cell r="D65">
            <v>3.38421962565072E-3</v>
          </cell>
          <cell r="E65">
            <v>9.8359570142899297E-3</v>
          </cell>
        </row>
        <row r="66">
          <cell r="B66">
            <v>6.4867603736376101E-4</v>
          </cell>
          <cell r="C66">
            <v>1.0598182475617601E-6</v>
          </cell>
          <cell r="D66">
            <v>6.8856369171422002E-2</v>
          </cell>
          <cell r="E66">
            <v>4.3885047630975602E-2</v>
          </cell>
        </row>
        <row r="67">
          <cell r="B67">
            <v>1.3062274662219969E-3</v>
          </cell>
          <cell r="C67">
            <v>2.15972177338283E-6</v>
          </cell>
          <cell r="D67">
            <v>0.1893447106826267</v>
          </cell>
          <cell r="E67">
            <v>0.14074461101448099</v>
          </cell>
        </row>
        <row r="68">
          <cell r="B68">
            <v>1.2743644238887241E-3</v>
          </cell>
          <cell r="C68">
            <v>2.0773683758772898E-6</v>
          </cell>
          <cell r="D68">
            <v>1.5534976932845571E-2</v>
          </cell>
          <cell r="E68">
            <v>4.7326086463603701E-4</v>
          </cell>
        </row>
        <row r="69">
          <cell r="B69">
            <v>6.6785231097926103E-4</v>
          </cell>
          <cell r="C69">
            <v>1.1113825762662701E-6</v>
          </cell>
          <cell r="D69">
            <v>0.12343086588982299</v>
          </cell>
          <cell r="E69">
            <v>8.4190912803750406E-2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0.65785016631984039</v>
          </cell>
          <cell r="C5">
            <v>0.63740653135513703</v>
          </cell>
          <cell r="D5">
            <v>0.63735186741482475</v>
          </cell>
          <cell r="E5">
            <v>1.1874899853890362E-4</v>
          </cell>
        </row>
        <row r="12">
          <cell r="B12">
            <v>0.20820904104081045</v>
          </cell>
          <cell r="C12">
            <v>6.5304330161327189E-5</v>
          </cell>
          <cell r="D12">
            <v>0.208142764951007</v>
          </cell>
          <cell r="E12">
            <v>8.9822429029535092E-5</v>
          </cell>
        </row>
        <row r="19">
          <cell r="B19">
            <v>1.3280041780781218</v>
          </cell>
          <cell r="C19">
            <v>3.5327755825776403</v>
          </cell>
          <cell r="D19">
            <v>4.3846776129547322</v>
          </cell>
          <cell r="E19">
            <v>4.384762796229694</v>
          </cell>
        </row>
        <row r="20">
          <cell r="B20">
            <v>5.6294136963275641</v>
          </cell>
          <cell r="C20">
            <v>5.8893831489002038</v>
          </cell>
          <cell r="D20">
            <v>5.8000306187092692</v>
          </cell>
          <cell r="E20">
            <v>6.921135560652659</v>
          </cell>
        </row>
        <row r="21">
          <cell r="B21">
            <v>0</v>
          </cell>
          <cell r="C21">
            <v>1.5940983651117007E-4</v>
          </cell>
          <cell r="D21">
            <v>9.9641182208741425E-5</v>
          </cell>
          <cell r="E21">
            <v>3.9043398663249937E-4</v>
          </cell>
        </row>
        <row r="28">
          <cell r="B28">
            <v>3.4656883188169522E-3</v>
          </cell>
          <cell r="C28">
            <v>5.5161528493874561E-3</v>
          </cell>
          <cell r="D28">
            <v>5.5310075555088899E-3</v>
          </cell>
          <cell r="E28">
            <v>0.10062960987523505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1.289073945014247</v>
          </cell>
          <cell r="C38">
            <v>3.619249357089501</v>
          </cell>
          <cell r="D38">
            <v>2.6858151285372931</v>
          </cell>
          <cell r="E38">
            <v>2.685719429520431</v>
          </cell>
        </row>
        <row r="39">
          <cell r="B39">
            <v>1.1764740432569534</v>
          </cell>
          <cell r="C39">
            <v>3.3031099116995577</v>
          </cell>
          <cell r="D39">
            <v>2.4512106508180462</v>
          </cell>
          <cell r="E39">
            <v>2.4511233110577977</v>
          </cell>
        </row>
      </sheetData>
      <sheetData sheetId="68">
        <row r="3">
          <cell r="B3">
            <v>48.063397652170998</v>
          </cell>
          <cell r="C3">
            <v>49.19546385896269</v>
          </cell>
          <cell r="D3">
            <v>51.968430558268608</v>
          </cell>
          <cell r="E3">
            <v>53.507705634735402</v>
          </cell>
        </row>
        <row r="6">
          <cell r="B6">
            <v>0</v>
          </cell>
          <cell r="C6">
            <v>2.0834212741786553</v>
          </cell>
          <cell r="D6">
            <v>2.0834208468838362</v>
          </cell>
          <cell r="E6">
            <v>5.5431808463981351</v>
          </cell>
        </row>
        <row r="11">
          <cell r="B11">
            <v>60.070028794928149</v>
          </cell>
          <cell r="C11">
            <v>61.543416348899427</v>
          </cell>
          <cell r="D11">
            <v>64.597402525070763</v>
          </cell>
          <cell r="E11">
            <v>66.913296269739504</v>
          </cell>
        </row>
        <row r="18">
          <cell r="B18">
            <v>3.5600063653327489</v>
          </cell>
          <cell r="C18">
            <v>3.4647179462125965</v>
          </cell>
          <cell r="D18">
            <v>2.9051390792505381E-2</v>
          </cell>
          <cell r="E18">
            <v>5.8653485837291939E-4</v>
          </cell>
        </row>
        <row r="19">
          <cell r="B19">
            <v>12.728647187497687</v>
          </cell>
          <cell r="C19">
            <v>13.638428268838041</v>
          </cell>
          <cell r="D19">
            <v>13.954531367051349</v>
          </cell>
          <cell r="E19">
            <v>14.264940871010776</v>
          </cell>
        </row>
        <row r="21">
          <cell r="B21">
            <v>7.7980479857986333</v>
          </cell>
          <cell r="C21">
            <v>8.0801715915375709</v>
          </cell>
          <cell r="D21">
            <v>11.020961760608442</v>
          </cell>
          <cell r="E21">
            <v>10.897032272286987</v>
          </cell>
        </row>
        <row r="22">
          <cell r="B22">
            <v>6.7646973880495023E-2</v>
          </cell>
          <cell r="C22">
            <v>8.5493008233653592E-2</v>
          </cell>
          <cell r="D22">
            <v>8.4165697869743025E-2</v>
          </cell>
          <cell r="E22">
            <v>8.6333798014645663E-2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0.10931224052895361</v>
          </cell>
        </row>
        <row r="24">
          <cell r="B24">
            <v>0.74847885473621378</v>
          </cell>
          <cell r="C24">
            <v>0.94973227947903893</v>
          </cell>
          <cell r="D24">
            <v>0.98331567844381618</v>
          </cell>
          <cell r="E24">
            <v>4.081776646832016</v>
          </cell>
        </row>
        <row r="33">
          <cell r="B33">
            <v>12.006631142757143</v>
          </cell>
          <cell r="C33">
            <v>12.710043043772888</v>
          </cell>
          <cell r="D33">
            <v>12.991062422357263</v>
          </cell>
          <cell r="E33">
            <v>14.369291993128453</v>
          </cell>
        </row>
        <row r="34">
          <cell r="B34">
            <v>8.8978144341716359</v>
          </cell>
          <cell r="C34">
            <v>8.105527953944403</v>
          </cell>
          <cell r="D34">
            <v>8.2566781167810621</v>
          </cell>
          <cell r="E34">
            <v>5.3050945871911157</v>
          </cell>
        </row>
        <row r="35">
          <cell r="B35">
            <v>2.7300062180726159</v>
          </cell>
          <cell r="C35">
            <v>2.4051525533627287</v>
          </cell>
          <cell r="D35">
            <v>4.0381150599249392E-3</v>
          </cell>
          <cell r="E35">
            <v>7.2163430496974355E-4</v>
          </cell>
        </row>
        <row r="36">
          <cell r="B36">
            <v>0</v>
          </cell>
          <cell r="C36">
            <v>0</v>
          </cell>
          <cell r="D36">
            <v>5.9547746448404956E-5</v>
          </cell>
          <cell r="E36">
            <v>1.151936767132677</v>
          </cell>
        </row>
        <row r="37">
          <cell r="B37">
            <v>35.2432170380172</v>
          </cell>
          <cell r="C37">
            <v>32.209646085909888</v>
          </cell>
          <cell r="D37">
            <v>31.881265612377124</v>
          </cell>
          <cell r="E37">
            <v>21.643850214608488</v>
          </cell>
        </row>
        <row r="38">
          <cell r="B38">
            <v>0.30914788279476735</v>
          </cell>
          <cell r="C38">
            <v>1.6099889083858048E-4</v>
          </cell>
          <cell r="D38">
            <v>2.3264217292878095</v>
          </cell>
          <cell r="E38">
            <v>2.2578027874118991</v>
          </cell>
        </row>
        <row r="39">
          <cell r="B39">
            <v>0.43672966925582346</v>
          </cell>
          <cell r="C39">
            <v>0.55206768262756589</v>
          </cell>
          <cell r="D39">
            <v>4.0588397060294454</v>
          </cell>
          <cell r="E39">
            <v>8.2117635912634483</v>
          </cell>
        </row>
        <row r="55">
          <cell r="B55">
            <v>9.8139040171759113</v>
          </cell>
          <cell r="C55">
            <v>10.335083817685675</v>
          </cell>
          <cell r="D55">
            <v>10.576621474638111</v>
          </cell>
          <cell r="E55">
            <v>10.576629830648569</v>
          </cell>
        </row>
        <row r="56">
          <cell r="B56">
            <v>1.1081549636775609</v>
          </cell>
          <cell r="C56">
            <v>1.4007963377871762</v>
          </cell>
          <cell r="D56">
            <v>1.4315124160724955</v>
          </cell>
          <cell r="E56">
            <v>5.9280883648308658</v>
          </cell>
        </row>
        <row r="57">
          <cell r="B57">
            <v>6.9177137822992787</v>
          </cell>
          <cell r="C57">
            <v>6.3119358014229725</v>
          </cell>
          <cell r="D57">
            <v>6.4452632198334765</v>
          </cell>
          <cell r="E57">
            <v>5.0607041305792757</v>
          </cell>
        </row>
        <row r="58">
          <cell r="B58">
            <v>1.8458254541943471</v>
          </cell>
          <cell r="C58">
            <v>1.6332188413609612</v>
          </cell>
          <cell r="D58">
            <v>2.7597992612674515E-3</v>
          </cell>
          <cell r="E58">
            <v>4.984688961578509E-4</v>
          </cell>
        </row>
        <row r="59">
          <cell r="B59">
            <v>28.619772189548002</v>
          </cell>
          <cell r="C59">
            <v>25.951697793646559</v>
          </cell>
          <cell r="D59">
            <v>27.590859901602798</v>
          </cell>
          <cell r="E59">
            <v>19.390613826455084</v>
          </cell>
        </row>
        <row r="60">
          <cell r="B60">
            <v>0</v>
          </cell>
          <cell r="C60">
            <v>0</v>
          </cell>
          <cell r="D60">
            <v>1.5660903292703202E-2</v>
          </cell>
          <cell r="E60">
            <v>8.4161358728433965E-3</v>
          </cell>
        </row>
        <row r="61">
          <cell r="B61">
            <v>2.367404232946277</v>
          </cell>
          <cell r="C61">
            <v>2.3075021521775896</v>
          </cell>
          <cell r="D61">
            <v>1.9391803353997341E-2</v>
          </cell>
          <cell r="E61">
            <v>3.9297835510985574E-4</v>
          </cell>
        </row>
        <row r="62">
          <cell r="B62">
            <v>5.1850572723066275</v>
          </cell>
          <cell r="C62">
            <v>5.5675591231664345</v>
          </cell>
          <cell r="D62">
            <v>5.8792030863914224</v>
          </cell>
          <cell r="E62">
            <v>6.200553484032322</v>
          </cell>
        </row>
        <row r="63">
          <cell r="B63">
            <v>6.5822749045635662</v>
          </cell>
          <cell r="C63">
            <v>7.0678495432055044</v>
          </cell>
          <cell r="D63">
            <v>7.0905083952734946</v>
          </cell>
          <cell r="E63">
            <v>7.1282759080729221</v>
          </cell>
        </row>
        <row r="64">
          <cell r="B64">
            <v>5.311127034814473</v>
          </cell>
          <cell r="C64">
            <v>6.2669404487548341</v>
          </cell>
          <cell r="D64">
            <v>3.5222808899944016</v>
          </cell>
          <cell r="E64">
            <v>3.3495469053066258</v>
          </cell>
        </row>
        <row r="65">
          <cell r="B65">
            <v>0.46152062849584646</v>
          </cell>
          <cell r="C65">
            <v>0.54457623963565305</v>
          </cell>
          <cell r="D65">
            <v>3.0559777518475681</v>
          </cell>
          <cell r="E65">
            <v>3.0559851117250689</v>
          </cell>
        </row>
        <row r="66">
          <cell r="B66">
            <v>4.1173693365016817</v>
          </cell>
          <cell r="C66">
            <v>4.2663306003318366</v>
          </cell>
          <cell r="D66">
            <v>5.8190678096012602</v>
          </cell>
          <cell r="E66">
            <v>5.7536330397675322</v>
          </cell>
        </row>
        <row r="67">
          <cell r="B67">
            <v>6.7646973880495023E-2</v>
          </cell>
          <cell r="C67">
            <v>8.5493008233653592E-2</v>
          </cell>
          <cell r="D67">
            <v>8.4165697869743025E-2</v>
          </cell>
          <cell r="E67">
            <v>8.6333798014645663E-2</v>
          </cell>
        </row>
        <row r="68">
          <cell r="B68">
            <v>0.31051479484089017</v>
          </cell>
          <cell r="C68">
            <v>0.39252012234819905</v>
          </cell>
          <cell r="D68">
            <v>2.8858350309869363</v>
          </cell>
          <cell r="E68">
            <v>5.8385639133883052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1.9262429781348192E-2</v>
          </cell>
        </row>
        <row r="70">
          <cell r="B70">
            <v>0</v>
          </cell>
          <cell r="C70">
            <v>1.7213296226103687</v>
          </cell>
          <cell r="D70">
            <v>1.7213292695779612</v>
          </cell>
          <cell r="E70">
            <v>4.5795019470352001</v>
          </cell>
        </row>
        <row r="71">
          <cell r="B71">
            <v>72.708285585244965</v>
          </cell>
          <cell r="C71">
            <v>73.852833452367435</v>
          </cell>
          <cell r="D71">
            <v>76.140437449597641</v>
          </cell>
          <cell r="E71">
            <v>76.97700027276187</v>
          </cell>
        </row>
      </sheetData>
      <sheetData sheetId="69">
        <row r="3">
          <cell r="B3">
            <v>56.994774574912441</v>
          </cell>
          <cell r="C3">
            <v>58.701894991713601</v>
          </cell>
          <cell r="D3">
            <v>58.514300308898555</v>
          </cell>
          <cell r="E3">
            <v>55.325437784051829</v>
          </cell>
        </row>
        <row r="6">
          <cell r="B6">
            <v>0</v>
          </cell>
          <cell r="C6">
            <v>6.9642776432990354</v>
          </cell>
          <cell r="D6">
            <v>2.3144675545615399</v>
          </cell>
          <cell r="E6">
            <v>4.5981106668559626</v>
          </cell>
        </row>
        <row r="11">
          <cell r="B11">
            <v>60.95001911477857</v>
          </cell>
          <cell r="C11">
            <v>60.772354402817534</v>
          </cell>
          <cell r="D11">
            <v>61.494832959948894</v>
          </cell>
          <cell r="E11">
            <v>60.197752305770265</v>
          </cell>
        </row>
        <row r="12">
          <cell r="B12">
            <v>30.256635442975568</v>
          </cell>
          <cell r="C12">
            <v>26.711962241580274</v>
          </cell>
          <cell r="D12">
            <v>25.034871718255914</v>
          </cell>
          <cell r="E12">
            <v>13.166490615124539</v>
          </cell>
        </row>
        <row r="13">
          <cell r="B13">
            <v>0</v>
          </cell>
          <cell r="C13">
            <v>0</v>
          </cell>
          <cell r="D13">
            <v>5.3043621234439793E-5</v>
          </cell>
          <cell r="E13">
            <v>2.7088563740898546E-4</v>
          </cell>
        </row>
        <row r="14">
          <cell r="B14">
            <v>25.262479884405447</v>
          </cell>
          <cell r="C14">
            <v>25.340455685886482</v>
          </cell>
          <cell r="D14">
            <v>23.328627754454242</v>
          </cell>
          <cell r="E14">
            <v>16.359179731846069</v>
          </cell>
        </row>
        <row r="15">
          <cell r="B15">
            <v>0.28621067701532121</v>
          </cell>
          <cell r="C15">
            <v>1.4093282492601198</v>
          </cell>
          <cell r="D15">
            <v>4.0090720738084739E-3</v>
          </cell>
          <cell r="E15">
            <v>7.1029905734118731E-4</v>
          </cell>
        </row>
        <row r="16">
          <cell r="B16">
            <v>1.4022807512679647</v>
          </cell>
          <cell r="C16">
            <v>1.5372276350825202</v>
          </cell>
          <cell r="D16">
            <v>0</v>
          </cell>
          <cell r="E16">
            <v>0</v>
          </cell>
        </row>
        <row r="17">
          <cell r="B17">
            <v>7.7268894860221771</v>
          </cell>
          <cell r="C17">
            <v>8.3696959798667194</v>
          </cell>
          <cell r="D17">
            <v>6.002955333082598</v>
          </cell>
          <cell r="E17">
            <v>7.5711791153067747</v>
          </cell>
        </row>
        <row r="19">
          <cell r="B19">
            <v>0.62700122408148329</v>
          </cell>
          <cell r="C19">
            <v>0.68733971801391502</v>
          </cell>
          <cell r="D19">
            <v>0.56365441229425606</v>
          </cell>
          <cell r="E19">
            <v>0.76022353282875832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2.9295930230748137</v>
          </cell>
          <cell r="C21">
            <v>3.1924517334416622</v>
          </cell>
          <cell r="D21">
            <v>4.358296174579781</v>
          </cell>
          <cell r="E21">
            <v>11.458570963731539</v>
          </cell>
        </row>
        <row r="28">
          <cell r="B28">
            <v>3.9552445398661273</v>
          </cell>
          <cell r="C28">
            <v>2.0704594111039318</v>
          </cell>
          <cell r="D28">
            <v>2.9805326510503334</v>
          </cell>
          <cell r="E28">
            <v>4.872314521718434</v>
          </cell>
        </row>
        <row r="47">
          <cell r="B47">
            <v>4.2612262153815461</v>
          </cell>
          <cell r="C47">
            <v>4.6176534001566898</v>
          </cell>
          <cell r="D47">
            <v>5.3987016337382618</v>
          </cell>
          <cell r="E47">
            <v>14.224293536907727</v>
          </cell>
        </row>
        <row r="48">
          <cell r="B48">
            <v>24.843070768129444</v>
          </cell>
          <cell r="C48">
            <v>21.976046979083062</v>
          </cell>
          <cell r="D48">
            <v>19.733985705602667</v>
          </cell>
          <cell r="E48">
            <v>10.756635263478749</v>
          </cell>
        </row>
        <row r="49">
          <cell r="B49">
            <v>24.189717659217575</v>
          </cell>
          <cell r="C49">
            <v>25.326923087532478</v>
          </cell>
          <cell r="D49">
            <v>19.083115085237836</v>
          </cell>
          <cell r="E49">
            <v>12.848823839396408</v>
          </cell>
        </row>
        <row r="50">
          <cell r="B50">
            <v>0</v>
          </cell>
          <cell r="C50">
            <v>0</v>
          </cell>
          <cell r="D50">
            <v>1.7785016282342798</v>
          </cell>
          <cell r="E50">
            <v>2.983109106058301</v>
          </cell>
        </row>
        <row r="51">
          <cell r="B51">
            <v>2.0957180786513212</v>
          </cell>
          <cell r="C51">
            <v>2.2700624654921584</v>
          </cell>
          <cell r="D51">
            <v>0</v>
          </cell>
          <cell r="E51">
            <v>0</v>
          </cell>
        </row>
        <row r="52">
          <cell r="B52">
            <v>5.5539025125106321</v>
          </cell>
          <cell r="C52">
            <v>6.0159365545758909</v>
          </cell>
          <cell r="D52">
            <v>4.9230940448618936</v>
          </cell>
          <cell r="E52">
            <v>6.237591749533359</v>
          </cell>
        </row>
        <row r="53">
          <cell r="B53">
            <v>6.1735465274619692</v>
          </cell>
          <cell r="C53">
            <v>6.6245343382161019</v>
          </cell>
          <cell r="D53">
            <v>7.4687934732896508</v>
          </cell>
          <cell r="E53">
            <v>7.2566040783520016</v>
          </cell>
        </row>
        <row r="54">
          <cell r="B54">
            <v>1.8770727646769874</v>
          </cell>
          <cell r="C54">
            <v>2.1600839275972281</v>
          </cell>
          <cell r="D54">
            <v>0.66642970074782548</v>
          </cell>
          <cell r="E54">
            <v>0.83015832249815691</v>
          </cell>
        </row>
        <row r="55">
          <cell r="B55">
            <v>0.62700122408148329</v>
          </cell>
          <cell r="C55">
            <v>0.68733971801391502</v>
          </cell>
          <cell r="D55">
            <v>0.56365441229425606</v>
          </cell>
          <cell r="E55">
            <v>0.76022353282875832</v>
          </cell>
        </row>
        <row r="56">
          <cell r="B56">
            <v>1.2230692712559188</v>
          </cell>
          <cell r="C56">
            <v>1.3407699433189733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6.9642776432990354</v>
          </cell>
          <cell r="D58">
            <v>2.3144675545615399</v>
          </cell>
          <cell r="E58">
            <v>4.5981106668559626</v>
          </cell>
        </row>
        <row r="59">
          <cell r="B59">
            <v>73.238370376014828</v>
          </cell>
          <cell r="C59">
            <v>78.574038893401394</v>
          </cell>
          <cell r="D59">
            <v>62.446248695977559</v>
          </cell>
          <cell r="E59">
            <v>60.789093754617781</v>
          </cell>
        </row>
      </sheetData>
      <sheetData sheetId="70">
        <row r="3">
          <cell r="B3">
            <v>44.576906148099837</v>
          </cell>
          <cell r="C3">
            <v>44.861181592941641</v>
          </cell>
          <cell r="D3">
            <v>49.522943969375056</v>
          </cell>
          <cell r="E3">
            <v>46.917944285520505</v>
          </cell>
        </row>
        <row r="10">
          <cell r="B10">
            <v>6.6283111601525391E-2</v>
          </cell>
          <cell r="C10">
            <v>7.3831667879573946</v>
          </cell>
          <cell r="D10">
            <v>5.1235675819863289</v>
          </cell>
          <cell r="E10">
            <v>10.244102346402917</v>
          </cell>
        </row>
        <row r="15">
          <cell r="B15">
            <v>69.470060404383588</v>
          </cell>
          <cell r="C15">
            <v>70.028419034212675</v>
          </cell>
          <cell r="D15">
            <v>70.195064446585747</v>
          </cell>
          <cell r="E15">
            <v>70.902947905216507</v>
          </cell>
        </row>
        <row r="16">
          <cell r="B16">
            <v>60.231842150000347</v>
          </cell>
          <cell r="C16">
            <v>51.320023057297085</v>
          </cell>
          <cell r="D16">
            <v>49.07948986935957</v>
          </cell>
          <cell r="E16">
            <v>23.177639149596668</v>
          </cell>
        </row>
        <row r="17">
          <cell r="B17">
            <v>0</v>
          </cell>
          <cell r="C17">
            <v>0</v>
          </cell>
          <cell r="D17">
            <v>5.3248472976151248E-5</v>
          </cell>
          <cell r="E17">
            <v>2.7317763758268071E-4</v>
          </cell>
        </row>
        <row r="18">
          <cell r="B18">
            <v>46.693794820454556</v>
          </cell>
          <cell r="C18">
            <v>46.3885041614665</v>
          </cell>
          <cell r="D18">
            <v>46.144274449980692</v>
          </cell>
          <cell r="E18">
            <v>32.927818221684383</v>
          </cell>
        </row>
        <row r="19">
          <cell r="B19">
            <v>0.30812899302379432</v>
          </cell>
          <cell r="C19">
            <v>1.7701282446286046</v>
          </cell>
          <cell r="D19">
            <v>4.0361898061938564E-3</v>
          </cell>
          <cell r="E19">
            <v>7.3261014988992357E-4</v>
          </cell>
        </row>
        <row r="20">
          <cell r="B20">
            <v>0.1000012480142646</v>
          </cell>
          <cell r="C20">
            <v>0.10000063566305728</v>
          </cell>
          <cell r="D20">
            <v>2.5922547568607145E-2</v>
          </cell>
          <cell r="E20">
            <v>4.6618984546192637E-4</v>
          </cell>
        </row>
        <row r="21">
          <cell r="B21">
            <v>8.3991037147994341</v>
          </cell>
          <cell r="C21">
            <v>9.7140473419953075</v>
          </cell>
          <cell r="D21">
            <v>8.4219706397269043</v>
          </cell>
          <cell r="E21">
            <v>10.725892380811606</v>
          </cell>
        </row>
        <row r="22">
          <cell r="B22">
            <v>16.991227283267886</v>
          </cell>
          <cell r="C22">
            <v>18.022851842795539</v>
          </cell>
          <cell r="D22">
            <v>18.562130905740784</v>
          </cell>
          <cell r="E22">
            <v>16.97341844520933</v>
          </cell>
        </row>
        <row r="23">
          <cell r="B23">
            <v>2.5068287851880919</v>
          </cell>
          <cell r="C23">
            <v>2.9280362319155451</v>
          </cell>
          <cell r="D23">
            <v>0.98338304689283951</v>
          </cell>
          <cell r="E23">
            <v>1.2912529134542783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15.195001251126037</v>
          </cell>
          <cell r="C25">
            <v>17.63596087597535</v>
          </cell>
          <cell r="D25">
            <v>26.497829753656088</v>
          </cell>
          <cell r="E25">
            <v>44.57991147196968</v>
          </cell>
        </row>
        <row r="26">
          <cell r="B26">
            <v>219.89598865025798</v>
          </cell>
          <cell r="C26">
            <v>217.90797142594965</v>
          </cell>
          <cell r="D26">
            <v>219.9141550977904</v>
          </cell>
          <cell r="E26">
            <v>200.5803524655754</v>
          </cell>
        </row>
        <row r="102">
          <cell r="B102">
            <v>8.9080224160676309</v>
          </cell>
          <cell r="C102">
            <v>7.8828968358281912</v>
          </cell>
          <cell r="D102">
            <v>0.8233467415644985</v>
          </cell>
          <cell r="E102">
            <v>0.20671220711196706</v>
          </cell>
        </row>
        <row r="104">
          <cell r="B104">
            <v>19.060361387536666</v>
          </cell>
          <cell r="C104">
            <v>22.071074969068668</v>
          </cell>
          <cell r="D104">
            <v>32.982682307257839</v>
          </cell>
          <cell r="E104">
            <v>51.363619257725475</v>
          </cell>
        </row>
        <row r="105">
          <cell r="B105">
            <v>45.124400335917912</v>
          </cell>
          <cell r="C105">
            <v>39.019185981645933</v>
          </cell>
          <cell r="D105">
            <v>34.330075344251604</v>
          </cell>
          <cell r="E105">
            <v>16.92580529665619</v>
          </cell>
        </row>
        <row r="106">
          <cell r="B106">
            <v>36.569920968776813</v>
          </cell>
          <cell r="C106">
            <v>38.775440377018825</v>
          </cell>
          <cell r="D106">
            <v>31.631956106822035</v>
          </cell>
          <cell r="E106">
            <v>21.879143462933907</v>
          </cell>
        </row>
        <row r="107">
          <cell r="B107">
            <v>0</v>
          </cell>
          <cell r="C107">
            <v>0</v>
          </cell>
          <cell r="D107">
            <v>3.7911646971918525</v>
          </cell>
          <cell r="E107">
            <v>5.6270906138434009</v>
          </cell>
        </row>
        <row r="108">
          <cell r="B108">
            <v>7.2000898570270519E-2</v>
          </cell>
          <cell r="C108">
            <v>7.2000457677401222E-2</v>
          </cell>
          <cell r="D108">
            <v>2.0720137398480269E-2</v>
          </cell>
          <cell r="E108">
            <v>3.729518763695409E-4</v>
          </cell>
        </row>
        <row r="109">
          <cell r="B109">
            <v>7.9064196789308552E-2</v>
          </cell>
          <cell r="C109">
            <v>4.7265646915454172E-2</v>
          </cell>
          <cell r="D109">
            <v>0</v>
          </cell>
          <cell r="E109">
            <v>0</v>
          </cell>
        </row>
        <row r="110">
          <cell r="B110">
            <v>6.5426994703561032</v>
          </cell>
          <cell r="C110">
            <v>7.6930315845295638</v>
          </cell>
          <cell r="D110">
            <v>5.9328487745519718</v>
          </cell>
          <cell r="E110">
            <v>7.3708402812154743</v>
          </cell>
        </row>
        <row r="111">
          <cell r="B111">
            <v>9.1310820226433052</v>
          </cell>
          <cell r="C111">
            <v>9.357392334032923</v>
          </cell>
          <cell r="D111">
            <v>10.660376864384705</v>
          </cell>
          <cell r="E111">
            <v>9.4465683746080398</v>
          </cell>
        </row>
        <row r="112">
          <cell r="B112">
            <v>2.6968940727804975</v>
          </cell>
          <cell r="C112">
            <v>3.1682236531247985</v>
          </cell>
          <cell r="D112">
            <v>0.46852170553737388</v>
          </cell>
          <cell r="E112">
            <v>0.60628987568522719</v>
          </cell>
        </row>
        <row r="113">
          <cell r="B113">
            <v>0.78534076052824076</v>
          </cell>
          <cell r="C113">
            <v>0.94130082291135464</v>
          </cell>
          <cell r="D113">
            <v>3.2915453872830625E-2</v>
          </cell>
          <cell r="E113">
            <v>3.948389953232255E-2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129.03606964156828</v>
          </cell>
          <cell r="C116">
            <v>136.41097945071053</v>
          </cell>
          <cell r="D116">
            <v>125.79817571481951</v>
          </cell>
          <cell r="E116">
            <v>123.71002856759129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26.978335646126425</v>
          </cell>
          <cell r="C224">
            <v>25.930343680346066</v>
          </cell>
          <cell r="D224">
            <v>21.680233317502282</v>
          </cell>
          <cell r="E224">
            <v>22.174303248211661</v>
          </cell>
        </row>
        <row r="231">
          <cell r="B231">
            <v>15.55273057479711</v>
          </cell>
          <cell r="C231">
            <v>14.851606449576924</v>
          </cell>
          <cell r="D231">
            <v>3.6367728368569199</v>
          </cell>
          <cell r="E231">
            <v>2.1877698230622245</v>
          </cell>
        </row>
        <row r="233">
          <cell r="B233">
            <v>22.300266820552437</v>
          </cell>
          <cell r="C233">
            <v>25.706536399334077</v>
          </cell>
          <cell r="D233">
            <v>38.046190461210735</v>
          </cell>
          <cell r="E233">
            <v>60.568656024749032</v>
          </cell>
        </row>
        <row r="234">
          <cell r="B234">
            <v>52.108863453690439</v>
          </cell>
          <cell r="C234">
            <v>44.567012632336635</v>
          </cell>
          <cell r="D234">
            <v>38.776150511551798</v>
          </cell>
          <cell r="E234">
            <v>18.896354471766887</v>
          </cell>
        </row>
        <row r="235">
          <cell r="B235">
            <v>42.950373590377595</v>
          </cell>
          <cell r="C235">
            <v>44.311594427770132</v>
          </cell>
          <cell r="D235">
            <v>36.820132089758154</v>
          </cell>
          <cell r="E235">
            <v>25.101799234804165</v>
          </cell>
        </row>
        <row r="236">
          <cell r="B236">
            <v>0</v>
          </cell>
          <cell r="C236">
            <v>0</v>
          </cell>
          <cell r="D236">
            <v>4.6684288214514451</v>
          </cell>
          <cell r="E236">
            <v>7.3623852800337577</v>
          </cell>
        </row>
        <row r="238">
          <cell r="B238">
            <v>9.4789831947462044E-2</v>
          </cell>
          <cell r="C238">
            <v>5.6201664531202046E-2</v>
          </cell>
          <cell r="D238">
            <v>0</v>
          </cell>
          <cell r="E238">
            <v>0</v>
          </cell>
        </row>
        <row r="239">
          <cell r="B239">
            <v>7.8440230655915286</v>
          </cell>
          <cell r="C239">
            <v>9.1474719708174703</v>
          </cell>
          <cell r="D239">
            <v>6.8945245094687628</v>
          </cell>
          <cell r="E239">
            <v>8.7523116970646377</v>
          </cell>
        </row>
        <row r="240">
          <cell r="B240">
            <v>9.651555654649103</v>
          </cell>
          <cell r="C240">
            <v>9.9546345901324695</v>
          </cell>
          <cell r="D240">
            <v>11.931152774106689</v>
          </cell>
          <cell r="E240">
            <v>10.716939718929567</v>
          </cell>
        </row>
        <row r="241">
          <cell r="B241">
            <v>2.8666895007291324</v>
          </cell>
          <cell r="C241">
            <v>3.3630615190073319</v>
          </cell>
          <cell r="D241">
            <v>0.5773862616396459</v>
          </cell>
          <cell r="E241">
            <v>0.76238735365912347</v>
          </cell>
        </row>
        <row r="242">
          <cell r="B242">
            <v>2.5068287851880919</v>
          </cell>
          <cell r="C242">
            <v>2.9280362319155451</v>
          </cell>
          <cell r="D242">
            <v>0.98338304689283951</v>
          </cell>
          <cell r="E242">
            <v>1.2912529134542783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6.6283111601525391E-2</v>
          </cell>
          <cell r="C244">
            <v>7.3831667879573946</v>
          </cell>
          <cell r="D244">
            <v>5.1235675819863289</v>
          </cell>
          <cell r="E244">
            <v>10.244102346402917</v>
          </cell>
        </row>
        <row r="245">
          <cell r="B245">
            <v>156.01440528769476</v>
          </cell>
          <cell r="C245">
            <v>162.34132313105661</v>
          </cell>
          <cell r="D245">
            <v>147.47840903232179</v>
          </cell>
          <cell r="E245">
            <v>145.88433181580297</v>
          </cell>
        </row>
      </sheetData>
      <sheetData sheetId="71">
        <row r="21">
          <cell r="B21">
            <v>78.984814803760159</v>
          </cell>
          <cell r="C21">
            <v>73.051648141934294</v>
          </cell>
          <cell r="D21">
            <v>69.89934562907051</v>
          </cell>
          <cell r="E21">
            <v>42.062085710480147</v>
          </cell>
        </row>
        <row r="22">
          <cell r="B22">
            <v>116.28690658320501</v>
          </cell>
          <cell r="C22">
            <v>111.01703820969308</v>
          </cell>
          <cell r="D22">
            <v>94.424762856454393</v>
          </cell>
          <cell r="E22">
            <v>65.397487509683842</v>
          </cell>
        </row>
        <row r="23">
          <cell r="B23">
            <v>1.0915218600992223</v>
          </cell>
          <cell r="C23">
            <v>1.3844772605202149</v>
          </cell>
          <cell r="D23">
            <v>1.8207380905245396</v>
          </cell>
          <cell r="E23">
            <v>2.5453294407489171</v>
          </cell>
        </row>
        <row r="24">
          <cell r="B24">
            <v>0.28445244677799864</v>
          </cell>
          <cell r="C24">
            <v>0.1579668883660631</v>
          </cell>
          <cell r="D24">
            <v>0.2499499381873215</v>
          </cell>
          <cell r="E24">
            <v>1.1617553042466299E-2</v>
          </cell>
        </row>
        <row r="25">
          <cell r="B25">
            <v>4.574134852578684</v>
          </cell>
          <cell r="C25">
            <v>4.2309224736162543</v>
          </cell>
          <cell r="D25">
            <v>4.0479264175093883</v>
          </cell>
          <cell r="E25">
            <v>2.436226142396519</v>
          </cell>
        </row>
        <row r="26">
          <cell r="B26">
            <v>2.972470664767791</v>
          </cell>
          <cell r="C26">
            <v>2.9710197577551667</v>
          </cell>
          <cell r="D26">
            <v>4.4361801846550222</v>
          </cell>
          <cell r="E26">
            <v>3.0680181693663107</v>
          </cell>
        </row>
        <row r="27">
          <cell r="B27">
            <v>2.3219909227579664E-2</v>
          </cell>
          <cell r="C27">
            <v>1.6721848657849661E-2</v>
          </cell>
          <cell r="D27">
            <v>2.5579981316011693E-3</v>
          </cell>
          <cell r="E27">
            <v>2.5287459328819466E-4</v>
          </cell>
        </row>
        <row r="28">
          <cell r="B28">
            <v>1.5598627499279101E-3</v>
          </cell>
          <cell r="C28">
            <v>8.6437936975150299E-5</v>
          </cell>
          <cell r="D28">
            <v>1.04857134470043E-3</v>
          </cell>
          <cell r="E28">
            <v>5.1621601404128001E-3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1.7860914834579029E-2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80.684649478748483</v>
          </cell>
          <cell r="E11">
            <v>78.507080344916744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5.0110902240360033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2.6050586585891149</v>
          </cell>
          <cell r="C53">
            <v>2.2665629643548408</v>
          </cell>
          <cell r="D53">
            <v>2.2682836639788571</v>
          </cell>
          <cell r="E53">
            <v>2.2575066964956925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6.4927390241030922</v>
          </cell>
          <cell r="C55">
            <v>6.2116377640079552</v>
          </cell>
          <cell r="D55">
            <v>5.674746815017583</v>
          </cell>
          <cell r="E55">
            <v>4.8686697234693108</v>
          </cell>
        </row>
        <row r="56">
          <cell r="B56">
            <v>3.7906422823093098</v>
          </cell>
          <cell r="C56">
            <v>3.52906982394369</v>
          </cell>
          <cell r="D56">
            <v>3.2019158762003297</v>
          </cell>
          <cell r="E56">
            <v>1.912459557337588</v>
          </cell>
        </row>
        <row r="57">
          <cell r="B57">
            <v>7.1772866241908524</v>
          </cell>
          <cell r="C57">
            <v>6.4872463388758863</v>
          </cell>
          <cell r="D57">
            <v>6.3091328416667896</v>
          </cell>
          <cell r="E57">
            <v>3.6003072757703838</v>
          </cell>
        </row>
        <row r="58">
          <cell r="B58">
            <v>14.546010717539762</v>
          </cell>
          <cell r="C58">
            <v>13.795140865619722</v>
          </cell>
          <cell r="D58">
            <v>12.408739693290059</v>
          </cell>
          <cell r="E58">
            <v>8.2043376434987429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17.776488180941307</v>
          </cell>
          <cell r="G99">
            <v>17.657791609241471</v>
          </cell>
          <cell r="H99">
            <v>17.055264789257134</v>
          </cell>
          <cell r="I99">
            <v>16.171471957917248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1.1867441337752708E-3</v>
          </cell>
          <cell r="J4">
            <v>3.5849620049658876E-4</v>
          </cell>
          <cell r="K4">
            <v>2.2661195083777197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3.4350286658379878E-4</v>
          </cell>
          <cell r="J5">
            <v>8.9017422835856083E-5</v>
          </cell>
          <cell r="K5">
            <v>2.101570040810556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1.414828405979863E-4</v>
          </cell>
          <cell r="J6">
            <v>4.5036934208057437E-5</v>
          </cell>
          <cell r="K6">
            <v>1.4724362609820655E-3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1.4736496837666004E-4</v>
          </cell>
          <cell r="J7">
            <v>4.5723226281533478E-5</v>
          </cell>
          <cell r="K7">
            <v>1.7888708261225655E-3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1.4573822241723247E-4</v>
          </cell>
          <cell r="J8">
            <v>4.5508736495911843E-5</v>
          </cell>
          <cell r="K8">
            <v>1.6998389603692114E-3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1.5616838846154251E-4</v>
          </cell>
          <cell r="J9">
            <v>4.8258665927506936E-5</v>
          </cell>
          <cell r="K9">
            <v>9.2887277252195033E-2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1.6712448852816881E-4</v>
          </cell>
          <cell r="J10">
            <v>4.9404981843797797E-5</v>
          </cell>
          <cell r="K10">
            <v>6.6621791122431606E-2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8.5353739330468992E-5</v>
          </cell>
          <cell r="J11">
            <v>3.5537092597122456E-5</v>
          </cell>
          <cell r="K11">
            <v>7.9242921069167183E-5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0.14332558828256525</v>
          </cell>
          <cell r="J12">
            <v>0.54160995099160769</v>
          </cell>
          <cell r="K12">
            <v>2.7089710255257691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0.14332558828256525</v>
          </cell>
          <cell r="J13">
            <v>0.54160995099160769</v>
          </cell>
          <cell r="K13">
            <v>2.7089710255257691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1.0823722784251601E-7</v>
          </cell>
          <cell r="J14">
            <v>3.27527824375646E-7</v>
          </cell>
          <cell r="K14">
            <v>1.0776529160086501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1.51290430282068E-2</v>
          </cell>
          <cell r="J15">
            <v>5.47919540379408E-2</v>
          </cell>
          <cell r="K15">
            <v>0.27370638107603501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1.2524831560794469</v>
          </cell>
          <cell r="J16">
            <v>1.3323418436234113</v>
          </cell>
          <cell r="K16">
            <v>1.1442486260920366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1.2524831560794469</v>
          </cell>
          <cell r="J17">
            <v>1.3323418436234113</v>
          </cell>
          <cell r="K17">
            <v>1.1442486260920366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9.6365523902155137E-2</v>
          </cell>
          <cell r="J18">
            <v>0.59944437048296584</v>
          </cell>
          <cell r="K18">
            <v>0.11907357390308204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0.15683406071291772</v>
          </cell>
          <cell r="J19">
            <v>0.67893554767529563</v>
          </cell>
          <cell r="K19">
            <v>0.13160763431393308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15.1076286111131</v>
          </cell>
          <cell r="J20">
            <v>94.076932221592799</v>
          </cell>
          <cell r="K20">
            <v>18.795250248174501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0.26786575551618891</v>
          </cell>
          <cell r="J21">
            <v>1.6680307131488066</v>
          </cell>
          <cell r="K21">
            <v>0.33324911787543515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1.8541245478629601E-6</v>
          </cell>
          <cell r="J22">
            <v>1.4293775932985401E-2</v>
          </cell>
          <cell r="K22">
            <v>9.1812006906252203E-5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2.2919783146571299E-2</v>
          </cell>
          <cell r="J23">
            <v>3.7212588043404077E-2</v>
          </cell>
          <cell r="K23">
            <v>1.7922813597581376E-2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1.7745570142982601E-4</v>
          </cell>
          <cell r="J24">
            <v>1.3725791724895523E-4</v>
          </cell>
          <cell r="K24">
            <v>1.2283723352736004E-4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1.7745570142982601E-4</v>
          </cell>
          <cell r="J25">
            <v>1.3725791724895523E-4</v>
          </cell>
          <cell r="K25">
            <v>1.2283723352736004E-4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4.3669983489784901E-7</v>
          </cell>
          <cell r="J26">
            <v>6.69183398939022E-7</v>
          </cell>
          <cell r="K26">
            <v>1.19745938913336E-6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3.2638607019341848E-4</v>
          </cell>
          <cell r="J27">
            <v>3.2503367787928283E-4</v>
          </cell>
          <cell r="K27">
            <v>3.248864815570407E-4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0.42854702178212828</v>
          </cell>
          <cell r="J28">
            <v>0.17611372476621137</v>
          </cell>
          <cell r="K28">
            <v>0.72593640309823226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0.42854702178212756</v>
          </cell>
          <cell r="J29">
            <v>0.17611372476621115</v>
          </cell>
          <cell r="K29">
            <v>0.72593640309823126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0.47391533742313091</v>
          </cell>
          <cell r="J30">
            <v>0.1947581746084924</v>
          </cell>
          <cell r="K30">
            <v>0.80278767134562656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0.47391533742313091</v>
          </cell>
          <cell r="J31">
            <v>0.1947581746084924</v>
          </cell>
          <cell r="K31">
            <v>0.80278767134562656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7.8277509285620994E-2</v>
          </cell>
          <cell r="J32">
            <v>0.15152440445130999</v>
          </cell>
          <cell r="K32">
            <v>0.20760438529510999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0.22576887198044562</v>
          </cell>
          <cell r="J33">
            <v>0.24470083269907481</v>
          </cell>
          <cell r="K33">
            <v>0.2973312976722664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2.340086475448599</v>
          </cell>
          <cell r="J34">
            <v>4.791813096620702</v>
          </cell>
          <cell r="K34">
            <v>2.4610568584165234E-5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2.3374863793647709</v>
          </cell>
          <cell r="J35">
            <v>4.7918130966207091</v>
          </cell>
          <cell r="K35">
            <v>2.4610568584165234E-5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2.6000872572184628</v>
          </cell>
          <cell r="J36">
            <v>5.1524856594900479</v>
          </cell>
          <cell r="K36">
            <v>2.4610568584165234E-5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2.6000872572184628</v>
          </cell>
          <cell r="J37">
            <v>5.1524856594900479</v>
          </cell>
          <cell r="K37">
            <v>2.4610568584165234E-5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2.8620929316103402E-4</v>
          </cell>
          <cell r="J38">
            <v>0.27286488498968298</v>
          </cell>
          <cell r="K38">
            <v>3.23207788775803E-6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0.14630597735935222</v>
          </cell>
          <cell r="J39">
            <v>0.29899352726733081</v>
          </cell>
          <cell r="K39">
            <v>1.0035399516790111E-3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6.4992488449358869E-4</v>
          </cell>
          <cell r="J40">
            <v>3.1432921351927715E-4</v>
          </cell>
          <cell r="K40">
            <v>1.1994362898511168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1.9608522703312619E-4</v>
          </cell>
          <cell r="J41">
            <v>9.6243591211530124E-5</v>
          </cell>
          <cell r="K41">
            <v>1.0025031843965864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7.063413828229279E-5</v>
          </cell>
          <cell r="J42">
            <v>3.2489630879334234E-5</v>
          </cell>
          <cell r="K42">
            <v>6.6098098328751069E-5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7.214647144359446E-5</v>
          </cell>
          <cell r="J43">
            <v>3.3197374937603298E-5</v>
          </cell>
          <cell r="K43">
            <v>6.7616511145152013E-5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7.1607158326952183E-5</v>
          </cell>
          <cell r="J44">
            <v>3.2903639003652882E-5</v>
          </cell>
          <cell r="K44">
            <v>6.7144592194796543E-5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9.2213548570247488E-5</v>
          </cell>
          <cell r="J45">
            <v>4.4963762114057487E-5</v>
          </cell>
          <cell r="K45">
            <v>0.11300306497292327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9.6766981186080126E-5</v>
          </cell>
          <cell r="J46">
            <v>4.6923573368892246E-5</v>
          </cell>
          <cell r="K46">
            <v>8.3679671155119484E-2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5.0462761551798984E-5</v>
          </cell>
          <cell r="J47">
            <v>2.7598535568320038E-5</v>
          </cell>
          <cell r="K47">
            <v>4.9499910683254476E-5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0.10570722724397873</v>
          </cell>
          <cell r="K48">
            <v>0.10448883539370052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0.10677497701411991</v>
          </cell>
          <cell r="K49">
            <v>0.10554427817545499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1.1163378690186299E-6</v>
          </cell>
          <cell r="J50">
            <v>1.36609322071276E-2</v>
          </cell>
          <cell r="K50">
            <v>3.5332746407543599E-6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1.57215326824613E-6</v>
          </cell>
          <cell r="J51">
            <v>1.36625043603959E-2</v>
          </cell>
          <cell r="K51">
            <v>1.36660376350366E-2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0.1971584469314023</v>
          </cell>
          <cell r="J52">
            <v>9.6049121301586188E-2</v>
          </cell>
          <cell r="K52">
            <v>0.39491051157750273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0.19715844693140219</v>
          </cell>
          <cell r="J53">
            <v>9.6049121301586118E-2</v>
          </cell>
          <cell r="K53">
            <v>0.39491051157750234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0.21803085821541959</v>
          </cell>
          <cell r="J54">
            <v>0.10621754452417241</v>
          </cell>
          <cell r="K54">
            <v>0.43671779040537562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0.21803085821541959</v>
          </cell>
          <cell r="J55">
            <v>0.10621754452417241</v>
          </cell>
          <cell r="K55">
            <v>0.43671779040537562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4.35877833179905E-2</v>
          </cell>
          <cell r="J56">
            <v>8.1764651797591903E-2</v>
          </cell>
          <cell r="K56">
            <v>0.11309505445264501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0.12281496710949186</v>
          </cell>
          <cell r="J57">
            <v>0.13311568969491228</v>
          </cell>
          <cell r="K57">
            <v>0.16174942915642532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2.9284170516523851</v>
          </cell>
          <cell r="K58">
            <v>8.471419377783219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751.8040318044101</v>
          </cell>
          <cell r="K59">
            <v>2174.8429718129642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-751.80403180440999</v>
          </cell>
          <cell r="K60">
            <v>-2174.8429718129601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811.92198312275104</v>
          </cell>
          <cell r="K61">
            <v>2302.70011963149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8.7491593008917192</v>
          </cell>
          <cell r="K62">
            <v>24.813578875339331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0.116047896623186</v>
          </cell>
          <cell r="K63">
            <v>0.199983717344975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0.116047896623186</v>
          </cell>
          <cell r="K64">
            <v>0.31603159595096608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0.12851596675495841</v>
          </cell>
          <cell r="J65">
            <v>0.13359697170882653</v>
          </cell>
          <cell r="K65">
            <v>0.14389218087952646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5.8500265539820635</v>
          </cell>
          <cell r="J66">
            <v>5.9318541434372047</v>
          </cell>
          <cell r="K66">
            <v>5.2866776343372326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2.1018004718460612</v>
          </cell>
          <cell r="J67">
            <v>2.1886022143162696</v>
          </cell>
          <cell r="K67">
            <v>2.0381990487002004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1.7163821330515983</v>
          </cell>
          <cell r="J68">
            <v>2.3396708127822907</v>
          </cell>
          <cell r="K68">
            <v>3.0046941868423853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0.24694141449297083</v>
          </cell>
          <cell r="J69">
            <v>0.27180345339035311</v>
          </cell>
          <cell r="K69">
            <v>0.30290006773041711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10.9957563093259</v>
          </cell>
          <cell r="J70">
            <v>11.851947431534134</v>
          </cell>
          <cell r="K70">
            <v>11.669212359833519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6.0703392033910306E-8</v>
          </cell>
          <cell r="J71">
            <v>1.02098701931599E-7</v>
          </cell>
          <cell r="K71">
            <v>1.0468355328805E-7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0.627679129298084</v>
          </cell>
          <cell r="J72">
            <v>0.62767923139678605</v>
          </cell>
          <cell r="K72">
            <v>0.62767933608033899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6.3102417287638508E-4</v>
          </cell>
          <cell r="J73">
            <v>1.0900895878751707E-3</v>
          </cell>
          <cell r="K73">
            <v>6.3643678316710513E-5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6.3044472000873012E-4</v>
          </cell>
          <cell r="J74">
            <v>1.0900895878751748E-3</v>
          </cell>
          <cell r="K74">
            <v>6.3643678316710567E-5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7.669206097997988E-4</v>
          </cell>
          <cell r="J75">
            <v>1.2836317730182058E-3</v>
          </cell>
          <cell r="K75">
            <v>5.4983772642350617E-5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7.669206097997988E-4</v>
          </cell>
          <cell r="J76">
            <v>1.2836317730182058E-3</v>
          </cell>
          <cell r="K76">
            <v>5.4983772642350617E-5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1.11240825766812E-3</v>
          </cell>
          <cell r="J77">
            <v>4.5698600793904503E-5</v>
          </cell>
          <cell r="K77">
            <v>9.1490450299415302E-6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1.5496481383642812E-3</v>
          </cell>
          <cell r="J78">
            <v>1.16041809020304E-3</v>
          </cell>
          <cell r="K78">
            <v>5.0289879622877464E-4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3.7082484995068451E-3</v>
          </cell>
          <cell r="J79">
            <v>3.7018920388399942E-3</v>
          </cell>
          <cell r="K79">
            <v>1.2496307172354705E-3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1.4026251013550789E-3</v>
          </cell>
          <cell r="J80">
            <v>1.4303979767127371E-3</v>
          </cell>
          <cell r="K80">
            <v>5.0280548317658158E-4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5.8807107805703158E-3</v>
          </cell>
          <cell r="J81">
            <v>5.9665654091899953E-3</v>
          </cell>
          <cell r="K81">
            <v>2.3111936347433837E-3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7.2075306676426797E-5</v>
          </cell>
          <cell r="J82">
            <v>1.91695905884393E-5</v>
          </cell>
          <cell r="K82">
            <v>3.5136630934985902E-7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1.2471345156720747E-4</v>
          </cell>
          <cell r="J83">
            <v>1.2716573118346143E-4</v>
          </cell>
          <cell r="K83">
            <v>4.471664938278503E-5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2.6777993659226013E-4</v>
          </cell>
          <cell r="J84">
            <v>0.65156338870537378</v>
          </cell>
          <cell r="K84">
            <v>2.9640435687106753E-4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2.4823200122102498E-2</v>
          </cell>
          <cell r="J85">
            <v>60.399926132988199</v>
          </cell>
          <cell r="K85">
            <v>2.7476683881947999E-2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2.6777993659226013E-4</v>
          </cell>
          <cell r="J86">
            <v>0.65156338870537378</v>
          </cell>
          <cell r="K86">
            <v>2.9640435687106753E-4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1.1871023264067163E-3</v>
          </cell>
          <cell r="J87">
            <v>6.7549280884040552E-3</v>
          </cell>
          <cell r="K87">
            <v>2.9867871101641268E-3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1.1860122416258122E-3</v>
          </cell>
          <cell r="J88">
            <v>6.7549280884040856E-3</v>
          </cell>
          <cell r="K88">
            <v>2.9867871101641294E-3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1.4409547352894256E-3</v>
          </cell>
          <cell r="J89">
            <v>7.9481602120871075E-3</v>
          </cell>
          <cell r="K89">
            <v>3.3198564235062556E-3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1.4409547352894256E-3</v>
          </cell>
          <cell r="J90">
            <v>7.9481602120871075E-3</v>
          </cell>
          <cell r="K90">
            <v>3.3198564235062556E-3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2.5951401551892799E-3</v>
          </cell>
          <cell r="J91">
            <v>1.3150648743609199E-3</v>
          </cell>
          <cell r="K91">
            <v>1.00614410674871E-4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3.1100748433528095E-3</v>
          </cell>
          <cell r="J92">
            <v>3.9615308969658553E-3</v>
          </cell>
          <cell r="K92">
            <v>2.1011871384232022E-3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0.48984756184565481</v>
          </cell>
          <cell r="K93">
            <v>1.3567478406324747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838.6214729411322</v>
          </cell>
          <cell r="K94">
            <v>2075.1206972873601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-838.62147294113197</v>
          </cell>
          <cell r="K95">
            <v>-2075.1206972873601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4.5960778116064596</v>
          </cell>
          <cell r="K96">
            <v>12.020785868003721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942.27131791138504</v>
          </cell>
          <cell r="K97">
            <v>2331.59628908692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10.153785753355448</v>
          </cell>
          <cell r="K98">
            <v>25.124960011712503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2.6763286369221099E-2</v>
          </cell>
          <cell r="K99">
            <v>4.7363572580008298E-2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2.6763286369221099E-2</v>
          </cell>
          <cell r="K100">
            <v>7.4126842088887299E-2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1.2074142164918995E-5</v>
          </cell>
          <cell r="K102">
            <v>8.3049929843598356E-3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5.4459871219916988E-6</v>
          </cell>
          <cell r="K103">
            <v>1.7954180085046875E-4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1.1622196660008724E-5</v>
          </cell>
          <cell r="K105">
            <v>8.3330436640554166E-3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/>
          <cell r="K106">
            <v>1.7462502603428519E-4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4.3595429825397802E-7</v>
          </cell>
          <cell r="J107">
            <v>9.5676926760260306E-7</v>
          </cell>
          <cell r="K107">
            <v>1.7096527944703E-6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1.0275140422639608</v>
          </cell>
          <cell r="J108">
            <v>1.0275149990332284</v>
          </cell>
          <cell r="K108">
            <v>0.72468139545980292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373.83322957238499</v>
          </cell>
          <cell r="J109">
            <v>323.55532719103201</v>
          </cell>
          <cell r="K109">
            <v>2.3952273584322499E-4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5.6102461991843375</v>
          </cell>
          <cell r="J110">
            <v>4.9394368073730091</v>
          </cell>
          <cell r="K110">
            <v>0.62259461869172605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5.0723640376171657</v>
          </cell>
          <cell r="J111">
            <v>4.390167261750773</v>
          </cell>
          <cell r="K111">
            <v>3.2499692787411855E-6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0.63317125007631136</v>
          </cell>
          <cell r="J112">
            <v>0.63317148751601582</v>
          </cell>
          <cell r="K112">
            <v>0.63317172430976665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2.16597382429353E-6</v>
          </cell>
          <cell r="J116">
            <v>1.5210359085709499E-6</v>
          </cell>
          <cell r="K116">
            <v>1.2724740348334501E-6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9.5586458961646868E-8</v>
          </cell>
          <cell r="J117">
            <v>5.5322907612870165E-8</v>
          </cell>
          <cell r="K117">
            <v>1.9380208029668701E-6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0.70927589892867204</v>
          </cell>
          <cell r="J118">
            <v>0.53525177534466084</v>
          </cell>
          <cell r="K118">
            <v>0.6721966453101953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0.70927589892867204</v>
          </cell>
          <cell r="J119">
            <v>0.53525177534466084</v>
          </cell>
          <cell r="K119">
            <v>0.6721966453101953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1.31013141606661E-6</v>
          </cell>
          <cell r="J120">
            <v>2.6995876193716298E-6</v>
          </cell>
          <cell r="K120">
            <v>6.5035412734488002E-6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8.2401041557103483E-2</v>
          </cell>
          <cell r="J121">
            <v>8.2400697977285997E-2</v>
          </cell>
          <cell r="K121">
            <v>8.2404355117428496E-2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1.2798572365206708</v>
          </cell>
          <cell r="J122">
            <v>0.77967427871373451</v>
          </cell>
          <cell r="K122">
            <v>1.0931186589770187E-4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12.342948759407433</v>
          </cell>
          <cell r="J123">
            <v>7.3154261280279007</v>
          </cell>
          <cell r="K123">
            <v>9.6850313185363869E-4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2535.9319943649298</v>
          </cell>
          <cell r="J124">
            <v>1544.86054550009</v>
          </cell>
          <cell r="K124">
            <v>0.21659248405494699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27.326853387553129</v>
          </cell>
          <cell r="J125">
            <v>16.647204154095814</v>
          </cell>
          <cell r="K125">
            <v>2.3339707333507155E-3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4.0667406983267897E-3</v>
          </cell>
          <cell r="J126">
            <v>3.4142760343232897E-8</v>
          </cell>
          <cell r="K126">
            <v>2.46980552615646E-8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6.9925846736777666E-2</v>
          </cell>
          <cell r="J127">
            <v>4.8460477956265367E-2</v>
          </cell>
          <cell r="K127">
            <v>2.9032821848587465E-5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1.03349482169332</v>
          </cell>
          <cell r="J128">
            <v>0.360589155468653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4.782202264543357E-3</v>
          </cell>
          <cell r="J129">
            <v>1.6184667513206297E-3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1.0834864278564414E-2</v>
          </cell>
          <cell r="J130">
            <v>3.6344516520884344E-3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1.8324376271158162E-2</v>
          </cell>
          <cell r="J131">
            <v>6.393424742352001E-3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4.2497937204489833E-4</v>
          </cell>
          <cell r="J133">
            <v>1.4374994068818746E-4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5.5105463084555044E-2</v>
          </cell>
          <cell r="J134">
            <v>5.4645792974431701E-2</v>
          </cell>
          <cell r="K134">
            <v>1.5726858088001402E-3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0.14658596091457993</v>
          </cell>
          <cell r="J135">
            <v>0.14536319313395638</v>
          </cell>
          <cell r="K135">
            <v>4.1834991958230369E-3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0.20506345361624612</v>
          </cell>
          <cell r="J136">
            <v>0.19967753967586374</v>
          </cell>
          <cell r="K136">
            <v>5.9123609599673341E-3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3.9747932545402204E-3</v>
          </cell>
          <cell r="J137">
            <v>2.0308849436713401E-6</v>
          </cell>
          <cell r="K137">
            <v>2.0752258226144101E-6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4.0891917257062848E-3</v>
          </cell>
          <cell r="J138">
            <v>4.0549163493397607E-3</v>
          </cell>
          <cell r="K138">
            <v>1.1691948388641016E-4</v>
          </cell>
        </row>
        <row r="139">
          <cell r="B139" t="str">
            <v>ENUC_LRG_BEZ</v>
          </cell>
          <cell r="C139" t="str">
            <v>VAR_fout</v>
          </cell>
          <cell r="D139" t="str">
            <v>LTH</v>
          </cell>
          <cell r="J139"/>
          <cell r="K139">
            <v>5.4983323441958522E-3</v>
          </cell>
        </row>
        <row r="140">
          <cell r="B140" t="str">
            <v>ENUC_LRG_BEZ</v>
          </cell>
          <cell r="C140" t="str">
            <v>VAR_fout</v>
          </cell>
          <cell r="D140" t="str">
            <v>ELC</v>
          </cell>
          <cell r="J140"/>
          <cell r="K140">
            <v>3.6452634952795174E-2</v>
          </cell>
        </row>
        <row r="141">
          <cell r="B141" t="str">
            <v>ENUC_LRG_BEZ</v>
          </cell>
          <cell r="C141" t="str">
            <v>VAR_fin</v>
          </cell>
          <cell r="D141" t="str">
            <v>URN</v>
          </cell>
          <cell r="J141"/>
          <cell r="K141">
            <v>0.12087326872162467</v>
          </cell>
        </row>
        <row r="142">
          <cell r="B142" t="str">
            <v>ENUC_LRG_BEZ</v>
          </cell>
          <cell r="C142" t="str">
            <v>VAR_ncap</v>
          </cell>
          <cell r="D142" t="str">
            <v>-</v>
          </cell>
          <cell r="J142">
            <v>1.02844369619264E-3</v>
          </cell>
          <cell r="K142">
            <v>3.4276776654590998E-3</v>
          </cell>
        </row>
        <row r="143">
          <cell r="B143" t="str">
            <v>ENUC_LRG_BEZ</v>
          </cell>
          <cell r="C143" t="str">
            <v>VAR_cap</v>
          </cell>
          <cell r="D143" t="str">
            <v>-</v>
          </cell>
          <cell r="J143"/>
          <cell r="K143">
            <v>1.3724773344334399E-3</v>
          </cell>
        </row>
        <row r="144">
          <cell r="B144" t="str">
            <v>G-INTC-IMP00-FR</v>
          </cell>
          <cell r="C144" t="str">
            <v>VAR_fout</v>
          </cell>
          <cell r="D144" t="str">
            <v>ELC</v>
          </cell>
          <cell r="I144">
            <v>17.145275308807392</v>
          </cell>
          <cell r="J144">
            <v>10.51580059908037</v>
          </cell>
          <cell r="K144">
            <v>8.6911511696604169</v>
          </cell>
        </row>
        <row r="145">
          <cell r="B145" t="str">
            <v>G-INTC-IMP00-FR</v>
          </cell>
          <cell r="C145" t="str">
            <v>VAR_fin</v>
          </cell>
          <cell r="D145" t="str">
            <v>ELC_I-FR</v>
          </cell>
          <cell r="I145">
            <v>17.145275308807392</v>
          </cell>
          <cell r="J145">
            <v>10.51580059908037</v>
          </cell>
          <cell r="K145">
            <v>8.6911511696604169</v>
          </cell>
        </row>
        <row r="146">
          <cell r="B146" t="str">
            <v>G-INTC-IMP00-FR</v>
          </cell>
          <cell r="C146" t="str">
            <v>VAR_ncap</v>
          </cell>
          <cell r="D146" t="str">
            <v>-</v>
          </cell>
          <cell r="I146">
            <v>6.7555913921731705E-7</v>
          </cell>
          <cell r="J146">
            <v>1.10007192894885E-6</v>
          </cell>
          <cell r="K146">
            <v>1.8612278429041899E-6</v>
          </cell>
        </row>
        <row r="147">
          <cell r="B147" t="str">
            <v>G-INTC-IMP00-FR</v>
          </cell>
          <cell r="C147" t="str">
            <v>VAR_cap</v>
          </cell>
          <cell r="D147" t="str">
            <v>-</v>
          </cell>
          <cell r="I147">
            <v>1.6999983735762574</v>
          </cell>
          <cell r="J147">
            <v>1.1999997578427979</v>
          </cell>
          <cell r="K147">
            <v>1.1999996961880128</v>
          </cell>
        </row>
        <row r="148">
          <cell r="B148" t="str">
            <v>ITOT-CHPWSTCCS</v>
          </cell>
          <cell r="C148" t="str">
            <v>VAR_fout</v>
          </cell>
          <cell r="D148" t="str">
            <v>CO2_O</v>
          </cell>
          <cell r="J148">
            <v>6.5711845350282188</v>
          </cell>
          <cell r="K148">
            <v>351.80712927558255</v>
          </cell>
        </row>
        <row r="149">
          <cell r="B149" t="str">
            <v>ITOT-CHPWSTCCS</v>
          </cell>
          <cell r="C149" t="str">
            <v>VAR_fout</v>
          </cell>
          <cell r="D149" t="str">
            <v>CO2</v>
          </cell>
          <cell r="J149">
            <v>-6.5711845350282196</v>
          </cell>
          <cell r="K149">
            <v>-351.80712927558199</v>
          </cell>
        </row>
        <row r="150">
          <cell r="B150" t="str">
            <v>ITOT-CHPWSTCCS</v>
          </cell>
          <cell r="C150" t="str">
            <v>VAR_fout</v>
          </cell>
          <cell r="D150" t="str">
            <v>ITOT_LTH_CHP</v>
          </cell>
          <cell r="J150">
            <v>2.6182554465054839E-2</v>
          </cell>
          <cell r="K150">
            <v>0.98941788354357685</v>
          </cell>
        </row>
        <row r="151">
          <cell r="B151" t="str">
            <v>ITOT-CHPWSTCCS</v>
          </cell>
          <cell r="C151" t="str">
            <v>VAR_fout</v>
          </cell>
          <cell r="D151" t="str">
            <v>ITOT_KEV_WST_ELC_CHP</v>
          </cell>
          <cell r="J151">
            <v>5.1692701304681104E-3</v>
          </cell>
          <cell r="K151">
            <v>0.29167032876888982</v>
          </cell>
        </row>
        <row r="152">
          <cell r="B152" t="str">
            <v>ITOT-CHPWSTCCS</v>
          </cell>
          <cell r="C152" t="str">
            <v>VAR_fout</v>
          </cell>
          <cell r="D152" t="str">
            <v>CO2_I</v>
          </cell>
          <cell r="J152">
            <v>8.6007163144771699</v>
          </cell>
          <cell r="K152">
            <v>485.285870495675</v>
          </cell>
        </row>
        <row r="153">
          <cell r="B153" t="str">
            <v>ITOT-CHPWSTCCS</v>
          </cell>
          <cell r="C153" t="str">
            <v>VAR_fin</v>
          </cell>
          <cell r="D153" t="str">
            <v>IWST</v>
          </cell>
          <cell r="J153">
            <v>9.2680132699107576E-2</v>
          </cell>
          <cell r="K153">
            <v>5.2293736044792629</v>
          </cell>
        </row>
        <row r="154">
          <cell r="B154" t="str">
            <v>ITOT-CHPWSTCCS</v>
          </cell>
          <cell r="C154" t="str">
            <v>VAR_ncap</v>
          </cell>
          <cell r="D154" t="str">
            <v>-</v>
          </cell>
          <cell r="J154">
            <v>5.0510224236418797E-4</v>
          </cell>
          <cell r="K154">
            <v>2.3716476273761299E-2</v>
          </cell>
        </row>
        <row r="155">
          <cell r="B155" t="str">
            <v>ITOT-CHPWSTCCS</v>
          </cell>
          <cell r="C155" t="str">
            <v>VAR_cap</v>
          </cell>
          <cell r="D155" t="str">
            <v>-</v>
          </cell>
          <cell r="J155">
            <v>5.0510224236418797E-4</v>
          </cell>
          <cell r="K155">
            <v>2.4221560084525487E-2</v>
          </cell>
        </row>
        <row r="156">
          <cell r="B156" t="str">
            <v>EHYD-RUNS10</v>
          </cell>
          <cell r="C156" t="str">
            <v>VAR_fout</v>
          </cell>
          <cell r="D156" t="str">
            <v>ELC35</v>
          </cell>
          <cell r="I156">
            <v>4.7646730244896518E-2</v>
          </cell>
          <cell r="J156">
            <v>5.3316632691874984E-2</v>
          </cell>
          <cell r="K156">
            <v>5.2497751388546364E-2</v>
          </cell>
        </row>
        <row r="157">
          <cell r="B157" t="str">
            <v>EHYD-RUNS10</v>
          </cell>
          <cell r="C157" t="str">
            <v>VAR_fin</v>
          </cell>
          <cell r="D157" t="str">
            <v>HYDR</v>
          </cell>
          <cell r="I157">
            <v>4.7646730244896518E-2</v>
          </cell>
          <cell r="J157">
            <v>5.3316632691874984E-2</v>
          </cell>
          <cell r="K157">
            <v>5.2497751388546364E-2</v>
          </cell>
        </row>
        <row r="158">
          <cell r="B158" t="str">
            <v>EHYD-RUNS10</v>
          </cell>
          <cell r="C158" t="str">
            <v>VAR_ncap</v>
          </cell>
          <cell r="D158" t="str">
            <v>-</v>
          </cell>
          <cell r="I158">
            <v>3.6561732024842199E-3</v>
          </cell>
          <cell r="J158"/>
          <cell r="K158">
            <v>1.7842670853066602E-8</v>
          </cell>
        </row>
        <row r="159">
          <cell r="B159" t="str">
            <v>EHYD-RUNS10</v>
          </cell>
          <cell r="C159" t="str">
            <v>VAR_cap</v>
          </cell>
          <cell r="D159" t="str">
            <v>-</v>
          </cell>
          <cell r="I159">
            <v>4.2289276299996899E-3</v>
          </cell>
          <cell r="J159">
            <v>4.2289276299996899E-3</v>
          </cell>
          <cell r="K159">
            <v>4.2289454726705403E-3</v>
          </cell>
        </row>
        <row r="160">
          <cell r="B160" t="str">
            <v>SUP_WSTBIO</v>
          </cell>
          <cell r="C160" t="str">
            <v>VAR_fout</v>
          </cell>
          <cell r="D160" t="str">
            <v>ELC35</v>
          </cell>
          <cell r="I160">
            <v>0.1548248164799757</v>
          </cell>
          <cell r="J160">
            <v>0.14876538097788899</v>
          </cell>
          <cell r="K160">
            <v>0.14517663907857356</v>
          </cell>
        </row>
        <row r="161">
          <cell r="B161" t="str">
            <v>SUP_WSTBIO</v>
          </cell>
          <cell r="C161" t="str">
            <v>VAR_fout</v>
          </cell>
          <cell r="D161" t="str">
            <v>BIO</v>
          </cell>
          <cell r="I161">
            <v>7.7412408239987913</v>
          </cell>
          <cell r="J161">
            <v>7.4382690488944387</v>
          </cell>
          <cell r="K161">
            <v>7.2588319539286807</v>
          </cell>
        </row>
        <row r="162">
          <cell r="B162" t="str">
            <v>SUP_WSTBIO</v>
          </cell>
          <cell r="C162" t="str">
            <v>VAR_fin</v>
          </cell>
          <cell r="D162" t="str">
            <v>CWST</v>
          </cell>
          <cell r="I162">
            <v>13.310510651092775</v>
          </cell>
          <cell r="J162">
            <v>12.789572324641933</v>
          </cell>
          <cell r="K162">
            <v>12.481043056783657</v>
          </cell>
        </row>
        <row r="163">
          <cell r="B163" t="str">
            <v>SUP_WSTBIO</v>
          </cell>
          <cell r="C163" t="str">
            <v>VAR_ncap</v>
          </cell>
          <cell r="D163" t="str">
            <v>-</v>
          </cell>
          <cell r="I163">
            <v>0.148294710241787</v>
          </cell>
          <cell r="J163">
            <v>1.99637800712444E-2</v>
          </cell>
          <cell r="K163">
            <v>0.110245429142781</v>
          </cell>
        </row>
        <row r="164">
          <cell r="B164" t="str">
            <v>SUP_WSTBIO</v>
          </cell>
          <cell r="C164" t="str">
            <v>VAR_cap</v>
          </cell>
          <cell r="D164" t="str">
            <v>-</v>
          </cell>
          <cell r="I164">
            <v>0.29244710378717664</v>
          </cell>
          <cell r="J164">
            <v>0.281001251074387</v>
          </cell>
          <cell r="K164">
            <v>0.27422247877578793</v>
          </cell>
        </row>
        <row r="165">
          <cell r="B165" t="str">
            <v>ITOT-CHPNGACCS</v>
          </cell>
          <cell r="C165" t="str">
            <v>VAR_fout</v>
          </cell>
          <cell r="D165" t="str">
            <v>CO2_O</v>
          </cell>
          <cell r="J165">
            <v>10.727309436147735</v>
          </cell>
          <cell r="K165">
            <v>10.667786919122872</v>
          </cell>
        </row>
        <row r="166">
          <cell r="B166" t="str">
            <v>ITOT-CHPNGACCS</v>
          </cell>
          <cell r="C166" t="str">
            <v>VAR_fout</v>
          </cell>
          <cell r="D166" t="str">
            <v>CO2</v>
          </cell>
          <cell r="J166">
            <v>-10.727309436147699</v>
          </cell>
          <cell r="K166">
            <v>-10.6677869191229</v>
          </cell>
        </row>
        <row r="167">
          <cell r="B167" t="str">
            <v>ITOT-CHPNGACCS</v>
          </cell>
          <cell r="C167" t="str">
            <v>VAR_fout</v>
          </cell>
          <cell r="D167" t="str">
            <v>ITOT_NKEV_GAS_ELC_CHP</v>
          </cell>
          <cell r="J167">
            <v>6.9241538316038312E-2</v>
          </cell>
          <cell r="K167">
            <v>6.8857338469117166E-2</v>
          </cell>
        </row>
        <row r="168">
          <cell r="B168" t="str">
            <v>ITOT-CHPNGACCS</v>
          </cell>
          <cell r="C168" t="str">
            <v>VAR_fout</v>
          </cell>
          <cell r="D168" t="str">
            <v>ITOT_LTH_CHP</v>
          </cell>
          <cell r="J168">
            <v>7.8423526941463401E-2</v>
          </cell>
          <cell r="K168">
            <v>7.6105479360603495E-2</v>
          </cell>
        </row>
        <row r="169">
          <cell r="B169" t="str">
            <v>ITOT-CHPNGACCS</v>
          </cell>
          <cell r="C169" t="str">
            <v>VAR_fout</v>
          </cell>
          <cell r="D169" t="str">
            <v>CO2_I</v>
          </cell>
          <cell r="J169">
            <v>12.095938000012699</v>
          </cell>
          <cell r="K169">
            <v>12.0101183515656</v>
          </cell>
        </row>
        <row r="170">
          <cell r="B170" t="str">
            <v>ITOT-CHPNGACCS</v>
          </cell>
          <cell r="C170" t="str">
            <v>VAR_fin</v>
          </cell>
          <cell r="D170" t="str">
            <v>INGA</v>
          </cell>
          <cell r="J170">
            <v>0.21446698581582804</v>
          </cell>
          <cell r="K170">
            <v>0.21294536084336191</v>
          </cell>
        </row>
        <row r="171">
          <cell r="B171" t="str">
            <v>ITOT-CHPNGACCS</v>
          </cell>
          <cell r="C171" t="str">
            <v>VAR_ncap</v>
          </cell>
          <cell r="D171" t="str">
            <v>-</v>
          </cell>
          <cell r="J171">
            <v>3.02240328817183E-3</v>
          </cell>
          <cell r="K171">
            <v>2.74719394827051E-7</v>
          </cell>
        </row>
        <row r="172">
          <cell r="B172" t="str">
            <v>ITOT-CHPNGACCS</v>
          </cell>
          <cell r="C172" t="str">
            <v>VAR_cap</v>
          </cell>
          <cell r="D172" t="str">
            <v>-</v>
          </cell>
          <cell r="J172">
            <v>3.02240328817183E-3</v>
          </cell>
          <cell r="K172">
            <v>3.0224976947463861E-3</v>
          </cell>
        </row>
        <row r="173">
          <cell r="B173" t="str">
            <v>SCOM-ESOLPV</v>
          </cell>
          <cell r="C173" t="str">
            <v>VAR_fout</v>
          </cell>
          <cell r="D173" t="str">
            <v>SCOM_SOL_ELC</v>
          </cell>
          <cell r="I173">
            <v>18.815542999226739</v>
          </cell>
          <cell r="J173">
            <v>19.775325542191307</v>
          </cell>
          <cell r="K173">
            <v>21.844262445342725</v>
          </cell>
        </row>
        <row r="174">
          <cell r="B174" t="str">
            <v>SCOM-ESOLPV</v>
          </cell>
          <cell r="C174" t="str">
            <v>VAR_fin</v>
          </cell>
          <cell r="D174" t="str">
            <v>SOL</v>
          </cell>
          <cell r="I174">
            <v>18.815542999226739</v>
          </cell>
          <cell r="J174">
            <v>19.775325542191307</v>
          </cell>
          <cell r="K174">
            <v>21.844262445342725</v>
          </cell>
        </row>
        <row r="175">
          <cell r="B175" t="str">
            <v>SCOM-ESOLPV</v>
          </cell>
          <cell r="C175" t="str">
            <v>VAR_fin</v>
          </cell>
          <cell r="D175" t="str">
            <v>SOLPVC</v>
          </cell>
          <cell r="I175">
            <v>18.8155429992267</v>
          </cell>
          <cell r="J175">
            <v>19.7753255421913</v>
          </cell>
          <cell r="K175">
            <v>21.8442624453427</v>
          </cell>
        </row>
        <row r="176">
          <cell r="B176" t="str">
            <v>SCOM-ESOLPV</v>
          </cell>
          <cell r="C176" t="str">
            <v>VAR_ncap</v>
          </cell>
          <cell r="D176" t="str">
            <v>-</v>
          </cell>
          <cell r="I176">
            <v>0.73007760720347903</v>
          </cell>
          <cell r="J176">
            <v>0.68412774678076604</v>
          </cell>
          <cell r="K176">
            <v>4.4941015882411497</v>
          </cell>
        </row>
        <row r="177">
          <cell r="B177" t="str">
            <v>SCOM-ESOLPV</v>
          </cell>
          <cell r="C177" t="str">
            <v>VAR_cap</v>
          </cell>
          <cell r="D177" t="str">
            <v>-</v>
          </cell>
          <cell r="I177">
            <v>5.4239731559250783</v>
          </cell>
          <cell r="J177">
            <v>5.7006506144685893</v>
          </cell>
          <cell r="K177">
            <v>6.2970644733223704</v>
          </cell>
        </row>
        <row r="178">
          <cell r="B178" t="str">
            <v>D-SCOM_LTH</v>
          </cell>
          <cell r="C178" t="str">
            <v>VAR_fout</v>
          </cell>
          <cell r="D178" t="str">
            <v>SCOM_LTH_DH</v>
          </cell>
          <cell r="I178">
            <v>7.8470929283322466</v>
          </cell>
          <cell r="J178">
            <v>8.2320557529901865</v>
          </cell>
          <cell r="K178">
            <v>7.5787258958079926</v>
          </cell>
        </row>
        <row r="179">
          <cell r="B179" t="str">
            <v>D-SCOM_LTH</v>
          </cell>
          <cell r="C179" t="str">
            <v>VAR_fin</v>
          </cell>
          <cell r="D179" t="str">
            <v>LTH</v>
          </cell>
          <cell r="I179">
            <v>8.5139909116890724</v>
          </cell>
          <cell r="J179">
            <v>8.9258158998469277</v>
          </cell>
          <cell r="K179">
            <v>8.2066677693282859</v>
          </cell>
        </row>
        <row r="180">
          <cell r="B180" t="str">
            <v>D-SCOM_LTH</v>
          </cell>
          <cell r="C180" t="str">
            <v>VAR_ncap</v>
          </cell>
          <cell r="D180" t="str">
            <v>-</v>
          </cell>
          <cell r="I180">
            <v>4.6002140371361799E-8</v>
          </cell>
          <cell r="J180">
            <v>6.4219205855815597E-8</v>
          </cell>
          <cell r="K180">
            <v>8.7311486932791496E-8</v>
          </cell>
        </row>
        <row r="181">
          <cell r="B181" t="str">
            <v>D-SCOM_LTH</v>
          </cell>
          <cell r="C181" t="str">
            <v>VAR_cap</v>
          </cell>
          <cell r="D181" t="str">
            <v>-</v>
          </cell>
          <cell r="I181">
            <v>0.84970037642718599</v>
          </cell>
          <cell r="J181">
            <v>0.84970044064639105</v>
          </cell>
          <cell r="K181">
            <v>0.84970052795787798</v>
          </cell>
        </row>
        <row r="182">
          <cell r="B182" t="str">
            <v>EHYD-RUNS15</v>
          </cell>
          <cell r="C182" t="str">
            <v>VAR_fout</v>
          </cell>
          <cell r="D182" t="str">
            <v>ELC35</v>
          </cell>
          <cell r="I182">
            <v>9.5012417016509046E-3</v>
          </cell>
          <cell r="J182">
            <v>1.0128006961418202E-2</v>
          </cell>
          <cell r="K182">
            <v>1.0729207462333266E-2</v>
          </cell>
        </row>
        <row r="183">
          <cell r="B183" t="str">
            <v>EHYD-RUNS15</v>
          </cell>
          <cell r="C183" t="str">
            <v>VAR_fin</v>
          </cell>
          <cell r="D183" t="str">
            <v>HYDR</v>
          </cell>
          <cell r="I183">
            <v>9.5012417016509046E-3</v>
          </cell>
          <cell r="J183">
            <v>1.0128006961418202E-2</v>
          </cell>
          <cell r="K183">
            <v>1.0729207462333266E-2</v>
          </cell>
        </row>
        <row r="184">
          <cell r="B184" t="str">
            <v>EHYD-RUNS15</v>
          </cell>
          <cell r="C184" t="str">
            <v>VAR_ncap</v>
          </cell>
          <cell r="D184" t="str">
            <v>-</v>
          </cell>
          <cell r="I184">
            <v>3.81707311940181E-8</v>
          </cell>
          <cell r="J184">
            <v>1.3000163624470499E-7</v>
          </cell>
          <cell r="K184">
            <v>4.0560653528848901E-7</v>
          </cell>
        </row>
        <row r="185">
          <cell r="B185" t="str">
            <v>EHYD-RUNS15</v>
          </cell>
          <cell r="C185" t="str">
            <v>VAR_cap</v>
          </cell>
          <cell r="D185" t="str">
            <v>-</v>
          </cell>
          <cell r="I185">
            <v>6.4009615656583597E-4</v>
          </cell>
          <cell r="J185">
            <v>6.4022615820208103E-4</v>
          </cell>
          <cell r="K185">
            <v>6.4063176473736904E-4</v>
          </cell>
        </row>
        <row r="186">
          <cell r="B186" t="str">
            <v>EHYD-RUN10</v>
          </cell>
          <cell r="C186" t="str">
            <v>VAR_fout</v>
          </cell>
          <cell r="D186" t="str">
            <v>ELC13</v>
          </cell>
          <cell r="I186">
            <v>5.7290166328515489E-2</v>
          </cell>
          <cell r="J186">
            <v>6.345478808872615E-2</v>
          </cell>
          <cell r="K186">
            <v>6.0422753333027109E-2</v>
          </cell>
        </row>
        <row r="187">
          <cell r="B187" t="str">
            <v>EHYD-RUN10</v>
          </cell>
          <cell r="C187" t="str">
            <v>VAR_fin</v>
          </cell>
          <cell r="D187" t="str">
            <v>HYDR</v>
          </cell>
          <cell r="I187">
            <v>5.7290166328515489E-2</v>
          </cell>
          <cell r="J187">
            <v>6.345478808872615E-2</v>
          </cell>
          <cell r="K187">
            <v>6.0422753333027109E-2</v>
          </cell>
        </row>
        <row r="188">
          <cell r="B188" t="str">
            <v>EHYD-RUN10</v>
          </cell>
          <cell r="C188" t="str">
            <v>VAR_ncap</v>
          </cell>
          <cell r="D188" t="str">
            <v>-</v>
          </cell>
          <cell r="J188"/>
          <cell r="K188"/>
        </row>
        <row r="189">
          <cell r="B189" t="str">
            <v>EHYD-RUN10</v>
          </cell>
          <cell r="C189" t="str">
            <v>VAR_cap</v>
          </cell>
          <cell r="D189" t="str">
            <v>-</v>
          </cell>
          <cell r="I189">
            <v>5.0208487353299797E-3</v>
          </cell>
          <cell r="J189">
            <v>5.0208487353299797E-3</v>
          </cell>
          <cell r="K189">
            <v>5.0208487353299797E-3</v>
          </cell>
        </row>
        <row r="190">
          <cell r="B190" t="str">
            <v>ITOT-CHPWOD</v>
          </cell>
          <cell r="C190" t="str">
            <v>VAR_fout</v>
          </cell>
          <cell r="D190" t="str">
            <v>ITOT_LTH_CHP</v>
          </cell>
          <cell r="I190">
            <v>5.8455672293217704</v>
          </cell>
          <cell r="J190">
            <v>5.1901023407022313</v>
          </cell>
          <cell r="K190">
            <v>1.895711903881004</v>
          </cell>
        </row>
        <row r="191">
          <cell r="B191" t="str">
            <v>ITOT-CHPWOD</v>
          </cell>
          <cell r="C191" t="str">
            <v>VAR_fout</v>
          </cell>
          <cell r="D191" t="str">
            <v>ITOT_KEV_WOD_ELC_CHP</v>
          </cell>
          <cell r="I191">
            <v>2.7633590538611954</v>
          </cell>
          <cell r="J191">
            <v>2.4535029246955999</v>
          </cell>
          <cell r="K191">
            <v>0.8961547181982914</v>
          </cell>
        </row>
        <row r="192">
          <cell r="B192" t="str">
            <v>ITOT-CHPWOD</v>
          </cell>
          <cell r="C192" t="str">
            <v>VAR_fin</v>
          </cell>
          <cell r="D192" t="str">
            <v>IWOD</v>
          </cell>
          <cell r="I192">
            <v>7.9917024941609682</v>
          </cell>
          <cell r="J192">
            <v>6.9538926952986406</v>
          </cell>
          <cell r="K192">
            <v>2.4378169810937047</v>
          </cell>
        </row>
        <row r="193">
          <cell r="B193" t="str">
            <v>ITOT-CHPWOD</v>
          </cell>
          <cell r="C193" t="str">
            <v>VAR_ncap</v>
          </cell>
          <cell r="D193" t="str">
            <v>-</v>
          </cell>
          <cell r="I193">
            <v>4.8143931409403901E-2</v>
          </cell>
          <cell r="J193">
            <v>1.90395758263294E-2</v>
          </cell>
          <cell r="K193">
            <v>1.9774196255071801E-2</v>
          </cell>
        </row>
        <row r="194">
          <cell r="B194" t="str">
            <v>ITOT-CHPWOD</v>
          </cell>
          <cell r="C194" t="str">
            <v>VAR_cap</v>
          </cell>
          <cell r="D194" t="str">
            <v>-</v>
          </cell>
          <cell r="I194">
            <v>0.11758784877400549</v>
          </cell>
          <cell r="J194">
            <v>9.6138918445641056E-2</v>
          </cell>
          <cell r="K194">
            <v>5.3956361312250949E-2</v>
          </cell>
        </row>
        <row r="195">
          <cell r="B195" t="str">
            <v>EHYD-RUN15</v>
          </cell>
          <cell r="C195" t="str">
            <v>VAR_fout</v>
          </cell>
          <cell r="D195" t="str">
            <v>ELC13</v>
          </cell>
          <cell r="I195">
            <v>0.34757385409756147</v>
          </cell>
          <cell r="J195">
            <v>0.34758517327611183</v>
          </cell>
          <cell r="K195">
            <v>0.34758974774895229</v>
          </cell>
        </row>
        <row r="196">
          <cell r="B196" t="str">
            <v>EHYD-RUN15</v>
          </cell>
          <cell r="C196" t="str">
            <v>VAR_fin</v>
          </cell>
          <cell r="D196" t="str">
            <v>HYDR</v>
          </cell>
          <cell r="I196">
            <v>0.34757385409756147</v>
          </cell>
          <cell r="J196">
            <v>0.34758517327611183</v>
          </cell>
          <cell r="K196">
            <v>0.34758974774895229</v>
          </cell>
        </row>
        <row r="197">
          <cell r="B197" t="str">
            <v>EHYD-RUN15</v>
          </cell>
          <cell r="C197" t="str">
            <v>VAR_ncap</v>
          </cell>
          <cell r="D197" t="str">
            <v>-</v>
          </cell>
          <cell r="I197">
            <v>6.0571314077433695E-8</v>
          </cell>
          <cell r="J197">
            <v>1.0519858554047399E-7</v>
          </cell>
          <cell r="K197">
            <v>3.8762658299061898E-7</v>
          </cell>
        </row>
        <row r="198">
          <cell r="B198" t="str">
            <v>EHYD-RUN15</v>
          </cell>
          <cell r="C198" t="str">
            <v>VAR_cap</v>
          </cell>
          <cell r="D198" t="str">
            <v>-</v>
          </cell>
          <cell r="I198">
            <v>2.47105368529646E-2</v>
          </cell>
          <cell r="J198">
            <v>2.4710603164606399E-2</v>
          </cell>
          <cell r="K198">
            <v>2.4710926285475901E-2</v>
          </cell>
        </row>
        <row r="199">
          <cell r="B199" t="str">
            <v>SCOM-SWHSTG-CHPWOD</v>
          </cell>
          <cell r="C199" t="str">
            <v>VAR_fout</v>
          </cell>
          <cell r="D199" t="str">
            <v>AUX_SCOM-CHPWOD_OUT</v>
          </cell>
          <cell r="I199">
            <v>8.1702846109696081E-3</v>
          </cell>
          <cell r="J199">
            <v>1.5186721865969791E-2</v>
          </cell>
          <cell r="K199">
            <v>4.9815585998575468E-2</v>
          </cell>
        </row>
        <row r="200">
          <cell r="B200" t="str">
            <v>SCOM-SWHSTG-CHPWOD</v>
          </cell>
          <cell r="C200" t="str">
            <v>VAR_fout</v>
          </cell>
          <cell r="D200" t="str">
            <v>SCOM_LTH_CHPWOD</v>
          </cell>
          <cell r="I200">
            <v>8.1793728029729042E-3</v>
          </cell>
          <cell r="J200">
            <v>1.5186721865969774E-2</v>
          </cell>
          <cell r="K200">
            <v>4.9815585998575468E-2</v>
          </cell>
        </row>
        <row r="201">
          <cell r="B201" t="str">
            <v>SCOM-SWHSTG-CHPWOD</v>
          </cell>
          <cell r="C201" t="str">
            <v>VAR_fin</v>
          </cell>
          <cell r="D201" t="str">
            <v>AUX_SCOM-CHPWOD_IN</v>
          </cell>
          <cell r="I201">
            <v>9.0795902729395132E-3</v>
          </cell>
          <cell r="J201">
            <v>1.6328660224789428E-2</v>
          </cell>
          <cell r="K201">
            <v>5.0319094875932016E-2</v>
          </cell>
        </row>
        <row r="202">
          <cell r="B202" t="str">
            <v>SCOM-SWHSTG-CHPWOD</v>
          </cell>
          <cell r="C202" t="str">
            <v>VAR_fin</v>
          </cell>
          <cell r="D202" t="str">
            <v>SCOM_LTH_CHPWOD</v>
          </cell>
          <cell r="I202">
            <v>9.0795902729395132E-3</v>
          </cell>
          <cell r="J202">
            <v>1.6328660224789428E-2</v>
          </cell>
          <cell r="K202">
            <v>5.0319094875932016E-2</v>
          </cell>
        </row>
        <row r="203">
          <cell r="B203" t="str">
            <v>SCOM-SWHSTG-CHPWOD</v>
          </cell>
          <cell r="C203" t="str">
            <v>VAR_ncap</v>
          </cell>
          <cell r="D203" t="str">
            <v>-</v>
          </cell>
          <cell r="I203">
            <v>1.1881562742078499E-3</v>
          </cell>
          <cell r="J203">
            <v>1.0552052337582799E-4</v>
          </cell>
          <cell r="K203">
            <v>2.52537576759758E-3</v>
          </cell>
        </row>
        <row r="204">
          <cell r="B204" t="str">
            <v>SCOM-SWHSTG-CHPWOD</v>
          </cell>
          <cell r="C204" t="str">
            <v>VAR_cap</v>
          </cell>
          <cell r="D204" t="str">
            <v>-</v>
          </cell>
          <cell r="I204">
            <v>1.4890879880728779E-3</v>
          </cell>
          <cell r="J204">
            <v>1.3111860653754379E-3</v>
          </cell>
          <cell r="K204">
            <v>3.0970306106070352E-3</v>
          </cell>
        </row>
        <row r="205">
          <cell r="B205" t="str">
            <v>RHNM-ESOLPV</v>
          </cell>
          <cell r="C205" t="str">
            <v>VAR_fout</v>
          </cell>
          <cell r="D205" t="str">
            <v>RHNM_SOL_ELC</v>
          </cell>
          <cell r="I205">
            <v>1.0509158252355539E-3</v>
          </cell>
          <cell r="J205">
            <v>1.1060661810912303E-3</v>
          </cell>
          <cell r="K205">
            <v>1.2221303486167629E-3</v>
          </cell>
        </row>
        <row r="206">
          <cell r="B206" t="str">
            <v>RHNM-ESOLPV</v>
          </cell>
          <cell r="C206" t="str">
            <v>VAR_fin</v>
          </cell>
          <cell r="D206" t="str">
            <v>SOL</v>
          </cell>
          <cell r="I206">
            <v>1.0509158252355539E-3</v>
          </cell>
          <cell r="J206">
            <v>1.1060661810912303E-3</v>
          </cell>
          <cell r="K206">
            <v>1.2221303486167629E-3</v>
          </cell>
        </row>
        <row r="207">
          <cell r="B207" t="str">
            <v>RHNM-ESOLPV</v>
          </cell>
          <cell r="C207" t="str">
            <v>VAR_fin</v>
          </cell>
          <cell r="D207" t="str">
            <v>SOLPVC</v>
          </cell>
          <cell r="I207">
            <v>1.05091582523555E-3</v>
          </cell>
          <cell r="J207">
            <v>1.1060661810912301E-3</v>
          </cell>
          <cell r="K207">
            <v>1.2221303486167599E-3</v>
          </cell>
        </row>
        <row r="208">
          <cell r="B208" t="str">
            <v>RHNM-ESOLPV</v>
          </cell>
          <cell r="C208" t="str">
            <v>VAR_ncap</v>
          </cell>
          <cell r="D208" t="str">
            <v>-</v>
          </cell>
          <cell r="I208">
            <v>1.59568896764114E-5</v>
          </cell>
          <cell r="J208">
            <v>1.6419451516243298E-5</v>
          </cell>
          <cell r="K208">
            <v>3.2365256061700498E-4</v>
          </cell>
        </row>
        <row r="209">
          <cell r="B209" t="str">
            <v>RHNM-ESOLPV</v>
          </cell>
          <cell r="C209" t="str">
            <v>VAR_cap</v>
          </cell>
          <cell r="D209" t="str">
            <v>-</v>
          </cell>
          <cell r="I209">
            <v>3.0377610331725402E-4</v>
          </cell>
          <cell r="J209">
            <v>3.1982436032364702E-4</v>
          </cell>
          <cell r="K209">
            <v>3.5295400260454201E-4</v>
          </cell>
        </row>
        <row r="210">
          <cell r="B210" t="str">
            <v>CHPNGA</v>
          </cell>
          <cell r="C210" t="str">
            <v>VAR_fout</v>
          </cell>
          <cell r="D210" t="str">
            <v>ELC35</v>
          </cell>
          <cell r="J210"/>
          <cell r="K210"/>
        </row>
        <row r="211">
          <cell r="B211" t="str">
            <v>CHPNGA</v>
          </cell>
          <cell r="C211" t="str">
            <v>VAR_fout</v>
          </cell>
          <cell r="D211" t="str">
            <v>LTH</v>
          </cell>
          <cell r="J211"/>
          <cell r="K211"/>
        </row>
        <row r="212">
          <cell r="B212" t="str">
            <v>CHPNGA</v>
          </cell>
          <cell r="C212" t="str">
            <v>VAR_fout</v>
          </cell>
          <cell r="D212" t="str">
            <v>CO2_E</v>
          </cell>
          <cell r="J212"/>
          <cell r="K212"/>
        </row>
        <row r="213">
          <cell r="B213" t="str">
            <v>CHPNGA</v>
          </cell>
          <cell r="C213" t="str">
            <v>VAR_fin</v>
          </cell>
          <cell r="D213" t="str">
            <v>ENGA</v>
          </cell>
          <cell r="J213"/>
          <cell r="K213"/>
        </row>
        <row r="214">
          <cell r="B214" t="str">
            <v>CHPNGA</v>
          </cell>
          <cell r="C214" t="str">
            <v>VAR_ncap</v>
          </cell>
          <cell r="D214" t="str">
            <v>-</v>
          </cell>
          <cell r="J214"/>
          <cell r="K214"/>
        </row>
        <row r="215">
          <cell r="B215" t="str">
            <v>CHPNGA</v>
          </cell>
          <cell r="C215" t="str">
            <v>VAR_cap</v>
          </cell>
          <cell r="D215" t="str">
            <v>-</v>
          </cell>
          <cell r="I215">
            <v>-2.2372239470627026E-7</v>
          </cell>
          <cell r="J215"/>
          <cell r="K215"/>
        </row>
        <row r="216">
          <cell r="B216" t="str">
            <v>EHYD-PUM00</v>
          </cell>
          <cell r="C216" t="str">
            <v>VAR_fout</v>
          </cell>
          <cell r="D216" t="str">
            <v>ELC</v>
          </cell>
          <cell r="I216">
            <v>12.773635587066634</v>
          </cell>
          <cell r="J216">
            <v>12.804415706027838</v>
          </cell>
          <cell r="K216">
            <v>12.86566026275618</v>
          </cell>
        </row>
        <row r="217">
          <cell r="B217" t="str">
            <v>EHYD-PUM00</v>
          </cell>
          <cell r="C217" t="str">
            <v>VAR_fout</v>
          </cell>
          <cell r="D217" t="str">
            <v>AUX_PUMP_OUT</v>
          </cell>
          <cell r="I217">
            <v>12.773635587066634</v>
          </cell>
          <cell r="J217">
            <v>12.804415706027838</v>
          </cell>
          <cell r="K217">
            <v>12.86566026275618</v>
          </cell>
        </row>
        <row r="218">
          <cell r="B218" t="str">
            <v>EHYD-PUM00</v>
          </cell>
          <cell r="C218" t="str">
            <v>VAR_fin</v>
          </cell>
          <cell r="D218" t="str">
            <v>AUX_PUMP_IN</v>
          </cell>
          <cell r="I218">
            <v>15.967044375981711</v>
          </cell>
          <cell r="J218">
            <v>16.005519529243088</v>
          </cell>
          <cell r="K218">
            <v>16.082075212500843</v>
          </cell>
        </row>
        <row r="219">
          <cell r="B219" t="str">
            <v>EHYD-PUM00</v>
          </cell>
          <cell r="C219" t="str">
            <v>VAR_fin</v>
          </cell>
          <cell r="D219" t="str">
            <v>ELC</v>
          </cell>
          <cell r="I219">
            <v>15.967044375981711</v>
          </cell>
          <cell r="J219">
            <v>16.005519529243088</v>
          </cell>
          <cell r="K219">
            <v>16.082075212500843</v>
          </cell>
        </row>
        <row r="220">
          <cell r="B220" t="str">
            <v>EHYD-PUM00</v>
          </cell>
          <cell r="C220" t="str">
            <v>VAR_cap</v>
          </cell>
          <cell r="D220" t="str">
            <v>-</v>
          </cell>
          <cell r="I220">
            <v>4.3594499999999998</v>
          </cell>
          <cell r="J220">
            <v>4.3594499999999998</v>
          </cell>
          <cell r="K220">
            <v>4.3594499999999998</v>
          </cell>
        </row>
        <row r="221">
          <cell r="B221" t="str">
            <v>RHNS-SHSTG-CHPNGA</v>
          </cell>
          <cell r="C221" t="str">
            <v>VAR_fout</v>
          </cell>
          <cell r="D221" t="str">
            <v>RHNS_LTH_CHPNGA</v>
          </cell>
          <cell r="I221">
            <v>7.6436367959864266E-4</v>
          </cell>
          <cell r="J221">
            <v>2.3994413209040772E-3</v>
          </cell>
          <cell r="K221">
            <v>6.3718707303669317E-5</v>
          </cell>
        </row>
        <row r="222">
          <cell r="B222" t="str">
            <v>RHNS-SHSTG-CHPNGA</v>
          </cell>
          <cell r="C222" t="str">
            <v>VAR_fout</v>
          </cell>
          <cell r="D222" t="str">
            <v>AUX_RNS-CHPNGA_OUT</v>
          </cell>
          <cell r="I222">
            <v>7.6366178457605582E-4</v>
          </cell>
          <cell r="J222">
            <v>2.3994413209040854E-3</v>
          </cell>
          <cell r="K222">
            <v>6.3718707303669371E-5</v>
          </cell>
        </row>
        <row r="223">
          <cell r="B223" t="str">
            <v>RHNS-SHSTG-CHPNGA</v>
          </cell>
          <cell r="C223" t="str">
            <v>VAR_fin</v>
          </cell>
          <cell r="D223" t="str">
            <v>RHNS_LTH_CHPNGA</v>
          </cell>
          <cell r="I223">
            <v>9.2854425431465419E-4</v>
          </cell>
          <cell r="J223">
            <v>2.8240455897647087E-3</v>
          </cell>
          <cell r="K223">
            <v>5.5049962585729903E-5</v>
          </cell>
        </row>
        <row r="224">
          <cell r="B224" t="str">
            <v>RHNS-SHSTG-CHPNGA</v>
          </cell>
          <cell r="C224" t="str">
            <v>VAR_fin</v>
          </cell>
          <cell r="D224" t="str">
            <v>AUX_RNS-CHPNGA_IN</v>
          </cell>
          <cell r="I224">
            <v>9.2854425431465419E-4</v>
          </cell>
          <cell r="J224">
            <v>2.8240455897647087E-3</v>
          </cell>
          <cell r="K224">
            <v>5.5049962585729903E-5</v>
          </cell>
        </row>
        <row r="225">
          <cell r="B225" t="str">
            <v>RHNS-SHSTG-CHPNGA</v>
          </cell>
          <cell r="C225" t="str">
            <v>VAR_ncap</v>
          </cell>
          <cell r="D225" t="str">
            <v>-</v>
          </cell>
          <cell r="I225">
            <v>1.3834573663259501E-3</v>
          </cell>
          <cell r="J225">
            <v>7.5429526101229705E-5</v>
          </cell>
          <cell r="K225">
            <v>7.3017741524648504E-6</v>
          </cell>
        </row>
        <row r="226">
          <cell r="B226" t="str">
            <v>RHNS-SHSTG-CHPNGA</v>
          </cell>
          <cell r="C226" t="str">
            <v>VAR_cap</v>
          </cell>
          <cell r="D226" t="str">
            <v>-</v>
          </cell>
          <cell r="I226">
            <v>1.7720797021225291E-3</v>
          </cell>
          <cell r="J226">
            <v>1.4642970386982875E-3</v>
          </cell>
          <cell r="K226">
            <v>6.3002326863219132E-4</v>
          </cell>
        </row>
        <row r="227">
          <cell r="B227" t="str">
            <v>ITOT-CHPGFC</v>
          </cell>
          <cell r="C227" t="str">
            <v>VAR_fout</v>
          </cell>
          <cell r="D227" t="str">
            <v>ITOT_NKEV_GAS_ELC_CHP</v>
          </cell>
          <cell r="I227">
            <v>4.6362275584475485E-4</v>
          </cell>
          <cell r="J227">
            <v>1.2917531580356144E-3</v>
          </cell>
          <cell r="K227">
            <v>8.2240145944858644E-4</v>
          </cell>
        </row>
        <row r="228">
          <cell r="B228" t="str">
            <v>ITOT-CHPGFC</v>
          </cell>
          <cell r="C228" t="str">
            <v>VAR_fout</v>
          </cell>
          <cell r="D228" t="str">
            <v>ITOT_LTH_CHP</v>
          </cell>
          <cell r="I228">
            <v>2.2011447353179867E-4</v>
          </cell>
          <cell r="J228">
            <v>5.8069637379582677E-4</v>
          </cell>
          <cell r="K228">
            <v>3.3184620293539527E-4</v>
          </cell>
        </row>
        <row r="229">
          <cell r="B229" t="str">
            <v>ITOT-CHPGFC</v>
          </cell>
          <cell r="C229" t="str">
            <v>VAR_fout</v>
          </cell>
          <cell r="D229" t="str">
            <v>CO2_I</v>
          </cell>
          <cell r="I229">
            <v>4.9104832731726097E-2</v>
          </cell>
          <cell r="J229">
            <v>0.13367867543708001</v>
          </cell>
          <cell r="K229">
            <v>8.1374460198070694E-2</v>
          </cell>
        </row>
        <row r="230">
          <cell r="B230" t="str">
            <v>ITOT-CHPGFC</v>
          </cell>
          <cell r="C230" t="str">
            <v>VAR_fin</v>
          </cell>
          <cell r="D230" t="str">
            <v>INGA</v>
          </cell>
          <cell r="I230">
            <v>8.7065306261925775E-4</v>
          </cell>
          <cell r="J230">
            <v>2.3701892807992926E-3</v>
          </cell>
          <cell r="K230">
            <v>1.4428095779799781E-3</v>
          </cell>
        </row>
        <row r="231">
          <cell r="B231" t="str">
            <v>ITOT-CHPGFC</v>
          </cell>
          <cell r="C231" t="str">
            <v>VAR_ncap</v>
          </cell>
          <cell r="D231" t="str">
            <v>-</v>
          </cell>
          <cell r="I231">
            <v>4.0067804484427298E-5</v>
          </cell>
          <cell r="J231">
            <v>3.3098703049933497E-5</v>
          </cell>
          <cell r="K231">
            <v>3.42736402812798E-5</v>
          </cell>
        </row>
        <row r="232">
          <cell r="B232" t="str">
            <v>ITOT-CHPGFC</v>
          </cell>
          <cell r="C232" t="str">
            <v>VAR_cap</v>
          </cell>
          <cell r="D232" t="str">
            <v>-</v>
          </cell>
          <cell r="I232">
            <v>1.0171107122529799E-4</v>
          </cell>
          <cell r="J232">
            <v>1.1520541826315961E-4</v>
          </cell>
          <cell r="K232">
            <v>7.517725150474745E-5</v>
          </cell>
        </row>
        <row r="233">
          <cell r="B233" t="str">
            <v>ITOT-SWSTG-CHP</v>
          </cell>
          <cell r="C233" t="str">
            <v>VAR_fout</v>
          </cell>
          <cell r="D233" t="str">
            <v>ITOT_LTH_CHP</v>
          </cell>
          <cell r="I233">
            <v>9.5392748125732132E-2</v>
          </cell>
          <cell r="J233">
            <v>0.15111562491487335</v>
          </cell>
          <cell r="K233">
            <v>9.2589126951159145E-2</v>
          </cell>
        </row>
        <row r="234">
          <cell r="B234" t="str">
            <v>ITOT-SWSTG-CHP</v>
          </cell>
          <cell r="C234" t="str">
            <v>VAR_fout</v>
          </cell>
          <cell r="D234" t="str">
            <v>AUX_ITOT-CHP_OUT</v>
          </cell>
          <cell r="I234">
            <v>9.5286756183370333E-2</v>
          </cell>
          <cell r="J234">
            <v>0.15111562491487346</v>
          </cell>
          <cell r="K234">
            <v>9.2589126951159145E-2</v>
          </cell>
        </row>
        <row r="235">
          <cell r="B235" t="str">
            <v>ITOT-SWSTG-CHP</v>
          </cell>
          <cell r="C235" t="str">
            <v>VAR_fin</v>
          </cell>
          <cell r="D235" t="str">
            <v>ITOT_LTH_CHP</v>
          </cell>
          <cell r="I235">
            <v>0.10599401395858442</v>
          </cell>
          <cell r="J235">
            <v>0.1624919851999066</v>
          </cell>
          <cell r="K235">
            <v>9.3526398446517861E-2</v>
          </cell>
        </row>
        <row r="236">
          <cell r="B236" t="str">
            <v>ITOT-SWSTG-CHP</v>
          </cell>
          <cell r="C236" t="str">
            <v>VAR_fin</v>
          </cell>
          <cell r="D236" t="str">
            <v>AUX_ITOT-CHP_IN</v>
          </cell>
          <cell r="I236">
            <v>0.10599401395858442</v>
          </cell>
          <cell r="J236">
            <v>0.1624919851999066</v>
          </cell>
          <cell r="K236">
            <v>9.3526398446517861E-2</v>
          </cell>
        </row>
        <row r="237">
          <cell r="B237" t="str">
            <v>ITOT-SWSTG-CHP</v>
          </cell>
          <cell r="C237" t="str">
            <v>VAR_ncap</v>
          </cell>
          <cell r="D237" t="str">
            <v>-</v>
          </cell>
          <cell r="I237">
            <v>2.3594884572116E-2</v>
          </cell>
          <cell r="J237">
            <v>1.40251129746734E-2</v>
          </cell>
          <cell r="K237">
            <v>1.05617407655908E-4</v>
          </cell>
        </row>
        <row r="238">
          <cell r="B238" t="str">
            <v>ITOT-SWSTG-CHP</v>
          </cell>
          <cell r="C238" t="str">
            <v>VAR_cap</v>
          </cell>
          <cell r="D238" t="str">
            <v>-</v>
          </cell>
          <cell r="I238">
            <v>2.4085558146101176E-2</v>
          </cell>
          <cell r="J238">
            <v>3.7623753618136677E-2</v>
          </cell>
          <cell r="K238">
            <v>2.0256106266496092E-2</v>
          </cell>
        </row>
        <row r="239">
          <cell r="B239" t="str">
            <v>D-ELFO</v>
          </cell>
          <cell r="C239" t="str">
            <v>VAR_fout</v>
          </cell>
          <cell r="D239" t="str">
            <v>CO2</v>
          </cell>
          <cell r="I239">
            <v>15.056920151674101</v>
          </cell>
          <cell r="J239">
            <v>109.868063681511</v>
          </cell>
          <cell r="K239">
            <v>1.00811992402272E-2</v>
          </cell>
        </row>
        <row r="240">
          <cell r="B240" t="str">
            <v>D-ELFO</v>
          </cell>
          <cell r="C240" t="str">
            <v>VAR_fout</v>
          </cell>
          <cell r="D240" t="str">
            <v>ELFO</v>
          </cell>
          <cell r="I240">
            <v>0.2008880873524489</v>
          </cell>
          <cell r="J240">
            <v>1.4658499182943405</v>
          </cell>
          <cell r="K240">
            <v>1.3450246220260648E-4</v>
          </cell>
        </row>
        <row r="241">
          <cell r="B241" t="str">
            <v>D-ELFO</v>
          </cell>
          <cell r="C241" t="str">
            <v>VAR_fin</v>
          </cell>
          <cell r="D241" t="str">
            <v>LFO</v>
          </cell>
          <cell r="I241">
            <v>0.2043001377432033</v>
          </cell>
          <cell r="J241">
            <v>1.4907471327206447</v>
          </cell>
          <cell r="K241">
            <v>1.3678696391081731E-4</v>
          </cell>
        </row>
        <row r="242">
          <cell r="B242" t="str">
            <v>EHYD-DAM00</v>
          </cell>
          <cell r="C242" t="str">
            <v>VAR_fout</v>
          </cell>
          <cell r="D242" t="str">
            <v>ELC</v>
          </cell>
          <cell r="I242">
            <v>70.715391607265516</v>
          </cell>
          <cell r="J242">
            <v>71.392686994600027</v>
          </cell>
          <cell r="K242">
            <v>71.3923413067551</v>
          </cell>
        </row>
        <row r="243">
          <cell r="B243" t="str">
            <v>EHYD-DAM00</v>
          </cell>
          <cell r="C243" t="str">
            <v>VAR_fin</v>
          </cell>
          <cell r="D243" t="str">
            <v>HYDD</v>
          </cell>
          <cell r="I243">
            <v>70.715391607265516</v>
          </cell>
          <cell r="J243">
            <v>71.392686994600027</v>
          </cell>
          <cell r="K243">
            <v>71.3923413067551</v>
          </cell>
        </row>
        <row r="244">
          <cell r="B244" t="str">
            <v>EHYD-DAM00</v>
          </cell>
          <cell r="C244" t="str">
            <v>VAR_cap</v>
          </cell>
          <cell r="D244" t="str">
            <v>-</v>
          </cell>
          <cell r="I244">
            <v>7.3394300010600002</v>
          </cell>
          <cell r="J244">
            <v>7.3394300010600002</v>
          </cell>
          <cell r="K244">
            <v>7.3394300010600002</v>
          </cell>
        </row>
        <row r="245">
          <cell r="B245" t="str">
            <v>RHES-SHSTG-CHPWOD</v>
          </cell>
          <cell r="C245" t="str">
            <v>VAR_fout</v>
          </cell>
          <cell r="D245" t="str">
            <v>AUX_RES-CHPWOD_OUT</v>
          </cell>
          <cell r="I245">
            <v>5.4315550555927307E-4</v>
          </cell>
          <cell r="J245">
            <v>6.6887544014734672E-4</v>
          </cell>
          <cell r="K245">
            <v>1.6371467293270947E-3</v>
          </cell>
        </row>
        <row r="246">
          <cell r="B246" t="str">
            <v>RHES-SHSTG-CHPWOD</v>
          </cell>
          <cell r="C246" t="str">
            <v>VAR_fout</v>
          </cell>
          <cell r="D246" t="str">
            <v>RHES_LTH_CHPWOD</v>
          </cell>
          <cell r="I246">
            <v>5.4365472936952828E-4</v>
          </cell>
          <cell r="J246">
            <v>6.6887544014734433E-4</v>
          </cell>
          <cell r="K246">
            <v>1.637146729327093E-3</v>
          </cell>
        </row>
        <row r="247">
          <cell r="B247" t="str">
            <v>RHES-SHSTG-CHPWOD</v>
          </cell>
          <cell r="C247" t="str">
            <v>VAR_fin</v>
          </cell>
          <cell r="D247" t="str">
            <v>AUX_RES-CHPWOD_IN</v>
          </cell>
          <cell r="I247">
            <v>6.6101825403990389E-4</v>
          </cell>
          <cell r="J247">
            <v>7.8808423885588471E-4</v>
          </cell>
          <cell r="K247">
            <v>1.8202620714555878E-3</v>
          </cell>
        </row>
        <row r="248">
          <cell r="B248" t="str">
            <v>RHES-SHSTG-CHPWOD</v>
          </cell>
          <cell r="C248" t="str">
            <v>VAR_fin</v>
          </cell>
          <cell r="D248" t="str">
            <v>RHES_LTH_CHPWOD</v>
          </cell>
          <cell r="I248">
            <v>6.6101825403990389E-4</v>
          </cell>
          <cell r="J248">
            <v>7.8808423885588471E-4</v>
          </cell>
          <cell r="K248">
            <v>1.8202620714555878E-3</v>
          </cell>
        </row>
        <row r="249">
          <cell r="B249" t="str">
            <v>RHES-SHSTG-CHPWOD</v>
          </cell>
          <cell r="C249" t="str">
            <v>VAR_ncap</v>
          </cell>
          <cell r="D249" t="str">
            <v>-</v>
          </cell>
          <cell r="I249">
            <v>1.19207868955611E-3</v>
          </cell>
          <cell r="J249">
            <v>1.05114770530471E-4</v>
          </cell>
          <cell r="K249">
            <v>2.0936694299583E-4</v>
          </cell>
        </row>
        <row r="250">
          <cell r="B250" t="str">
            <v>RHES-SHSTG-CHPWOD</v>
          </cell>
          <cell r="C250" t="str">
            <v>VAR_cap</v>
          </cell>
          <cell r="D250" t="str">
            <v>-</v>
          </cell>
          <cell r="I250">
            <v>1.5022481643363027E-3</v>
          </cell>
          <cell r="J250">
            <v>1.3085180110876937E-3</v>
          </cell>
          <cell r="K250">
            <v>7.8231648232048587E-4</v>
          </cell>
        </row>
        <row r="251">
          <cell r="B251" t="str">
            <v>ENUC_GOE_EXT</v>
          </cell>
          <cell r="C251" t="str">
            <v>VAR_fout</v>
          </cell>
          <cell r="D251" t="str">
            <v>ELC</v>
          </cell>
          <cell r="I251">
            <v>29.712870128672076</v>
          </cell>
          <cell r="J251">
            <v>29.712872591564622</v>
          </cell>
          <cell r="K251">
            <v>9.764353723559827</v>
          </cell>
        </row>
        <row r="252">
          <cell r="B252" t="str">
            <v>ENUC_GOE_EXT</v>
          </cell>
          <cell r="C252" t="str">
            <v>VAR_fin</v>
          </cell>
          <cell r="D252" t="str">
            <v>URN</v>
          </cell>
          <cell r="I252">
            <v>89.61013929262073</v>
          </cell>
          <cell r="J252">
            <v>89.610146720383312</v>
          </cell>
          <cell r="K252">
            <v>29.448016751040132</v>
          </cell>
        </row>
        <row r="253">
          <cell r="B253" t="str">
            <v>ENUC_GOE_EXT</v>
          </cell>
          <cell r="C253" t="str">
            <v>VAR_ncap</v>
          </cell>
          <cell r="D253" t="str">
            <v>-</v>
          </cell>
          <cell r="I253"/>
          <cell r="J253"/>
          <cell r="K253"/>
        </row>
        <row r="254">
          <cell r="B254" t="str">
            <v>ENUC_GOE_EXT</v>
          </cell>
          <cell r="C254" t="str">
            <v>VAR_cap</v>
          </cell>
          <cell r="D254" t="str">
            <v>-</v>
          </cell>
          <cell r="I254">
            <v>1.0099480273766224</v>
          </cell>
          <cell r="J254">
            <v>1.0099480378182855</v>
          </cell>
          <cell r="K254">
            <v>0.34592857779195058</v>
          </cell>
        </row>
        <row r="255">
          <cell r="B255" t="str">
            <v>ESOL-PV_A</v>
          </cell>
          <cell r="C255" t="str">
            <v>VAR_fout</v>
          </cell>
          <cell r="D255" t="str">
            <v>ELC35</v>
          </cell>
          <cell r="I255">
            <v>0.49007207563787325</v>
          </cell>
          <cell r="J255">
            <v>0.49007036127170056</v>
          </cell>
          <cell r="K255">
            <v>0.39052499628466764</v>
          </cell>
        </row>
        <row r="256">
          <cell r="B256" t="str">
            <v>ESOL-PV_A</v>
          </cell>
          <cell r="C256" t="str">
            <v>VAR_fin</v>
          </cell>
          <cell r="D256" t="str">
            <v>SOL</v>
          </cell>
          <cell r="I256">
            <v>0.49007207563787325</v>
          </cell>
          <cell r="J256">
            <v>0.49007036127170056</v>
          </cell>
          <cell r="K256">
            <v>0.39052499628466764</v>
          </cell>
        </row>
        <row r="257">
          <cell r="B257" t="str">
            <v>ESOL-PV_A</v>
          </cell>
          <cell r="C257" t="str">
            <v>VAR_fin</v>
          </cell>
          <cell r="D257" t="str">
            <v>SOLPVC</v>
          </cell>
          <cell r="I257">
            <v>0.49007207563787297</v>
          </cell>
          <cell r="J257">
            <v>0.49007036127170001</v>
          </cell>
          <cell r="K257">
            <v>0.39052499628466802</v>
          </cell>
        </row>
        <row r="258">
          <cell r="B258" t="str">
            <v>ESOL-PV_A</v>
          </cell>
          <cell r="C258" t="str">
            <v>VAR_ncap</v>
          </cell>
          <cell r="D258" t="str">
            <v>-</v>
          </cell>
          <cell r="I258">
            <v>2.0500471431678E-7</v>
          </cell>
          <cell r="J258">
            <v>8.6143177690541002E-8</v>
          </cell>
          <cell r="K258">
            <v>1.6890402879265601E-7</v>
          </cell>
        </row>
        <row r="259">
          <cell r="B259" t="str">
            <v>ESOL-PV_A</v>
          </cell>
          <cell r="C259" t="str">
            <v>VAR_cap</v>
          </cell>
          <cell r="D259" t="str">
            <v>-</v>
          </cell>
          <cell r="I259">
            <v>7.5746949903256297E-2</v>
          </cell>
          <cell r="J259">
            <v>7.5747132082853205E-2</v>
          </cell>
          <cell r="K259">
            <v>6.0362144981325402E-2</v>
          </cell>
        </row>
        <row r="260">
          <cell r="B260" t="str">
            <v>G-INTC-IND</v>
          </cell>
          <cell r="C260" t="str">
            <v>VAR_fout</v>
          </cell>
          <cell r="D260" t="str">
            <v>ELC35</v>
          </cell>
          <cell r="I260">
            <v>1.4828557107326615E-3</v>
          </cell>
          <cell r="J260">
            <v>7.8625651683371888E-4</v>
          </cell>
          <cell r="K260">
            <v>6.281488150107796E-4</v>
          </cell>
        </row>
        <row r="261">
          <cell r="B261" t="str">
            <v>G-INTC-IND</v>
          </cell>
          <cell r="C261" t="str">
            <v>VAR_fout</v>
          </cell>
          <cell r="D261" t="str">
            <v>ITOT_ELC</v>
          </cell>
          <cell r="I261">
            <v>58.25348182267097</v>
          </cell>
          <cell r="J261">
            <v>50.106246173092757</v>
          </cell>
          <cell r="K261">
            <v>54.011184701974777</v>
          </cell>
        </row>
        <row r="262">
          <cell r="B262" t="str">
            <v>G-INTC-IND</v>
          </cell>
          <cell r="C262" t="str">
            <v>VAR_fout</v>
          </cell>
          <cell r="D262" t="str">
            <v>ELC13</v>
          </cell>
          <cell r="I262">
            <v>1.0834957899733316E-3</v>
          </cell>
          <cell r="J262">
            <v>5.4532107886056638E-4</v>
          </cell>
          <cell r="K262">
            <v>5.0481754799637296E-4</v>
          </cell>
        </row>
        <row r="263">
          <cell r="B263" t="str">
            <v>G-INTC-IND</v>
          </cell>
          <cell r="C263" t="str">
            <v>VAR_fin</v>
          </cell>
          <cell r="D263" t="str">
            <v>ELC3</v>
          </cell>
          <cell r="I263">
            <v>58.25252364241512</v>
          </cell>
          <cell r="J263">
            <v>22.758717536075743</v>
          </cell>
          <cell r="K263">
            <v>24.374332218980502</v>
          </cell>
        </row>
        <row r="264">
          <cell r="B264" t="str">
            <v>G-INTC-IND</v>
          </cell>
          <cell r="C264" t="str">
            <v>VAR_fin</v>
          </cell>
          <cell r="D264" t="str">
            <v>ELC5</v>
          </cell>
          <cell r="I264">
            <v>3.5187122491608762E-3</v>
          </cell>
          <cell r="J264">
            <v>27.348860214612738</v>
          </cell>
          <cell r="K264">
            <v>29.637975979174069</v>
          </cell>
        </row>
        <row r="265">
          <cell r="B265" t="str">
            <v>G-INTC-IND</v>
          </cell>
          <cell r="C265" t="str">
            <v>VAR_ncap</v>
          </cell>
          <cell r="D265" t="str">
            <v>-</v>
          </cell>
          <cell r="I265">
            <v>3.5436351944741901E-7</v>
          </cell>
          <cell r="J265">
            <v>4.9152283379037905E-7</v>
          </cell>
          <cell r="K265">
            <v>9.2926673201110795E-7</v>
          </cell>
        </row>
        <row r="266">
          <cell r="B266" t="str">
            <v>G-INTC-IND</v>
          </cell>
          <cell r="C266" t="str">
            <v>VAR_cap</v>
          </cell>
          <cell r="D266" t="str">
            <v>-</v>
          </cell>
          <cell r="I266">
            <v>4.4927383698056147</v>
          </cell>
          <cell r="J266">
            <v>4.4927388754949034</v>
          </cell>
          <cell r="K266">
            <v>4.4927398179788192</v>
          </cell>
        </row>
        <row r="267">
          <cell r="B267" t="str">
            <v>D-IH2R</v>
          </cell>
          <cell r="C267" t="str">
            <v>VAR_fout</v>
          </cell>
          <cell r="D267" t="str">
            <v>IH2</v>
          </cell>
          <cell r="I267">
            <v>5.3668155383474341</v>
          </cell>
          <cell r="J267">
            <v>7.9050004802960991</v>
          </cell>
          <cell r="K267">
            <v>8.7182406341413152</v>
          </cell>
        </row>
        <row r="268">
          <cell r="B268" t="str">
            <v>D-IH2R</v>
          </cell>
          <cell r="C268" t="str">
            <v>VAR_fin</v>
          </cell>
          <cell r="D268" t="str">
            <v>H2</v>
          </cell>
          <cell r="I268">
            <v>5.3668155383474341</v>
          </cell>
          <cell r="J268">
            <v>7.9050004802960991</v>
          </cell>
          <cell r="K268">
            <v>8.7182406341413152</v>
          </cell>
        </row>
        <row r="269">
          <cell r="B269" t="str">
            <v>D-IH2R</v>
          </cell>
          <cell r="C269" t="str">
            <v>VAR_ncap</v>
          </cell>
          <cell r="D269" t="str">
            <v>-</v>
          </cell>
          <cell r="I269">
            <v>0.19814483924399201</v>
          </cell>
          <cell r="J269">
            <v>0.24344286351817901</v>
          </cell>
          <cell r="K269">
            <v>0.22378736581603001</v>
          </cell>
        </row>
        <row r="270">
          <cell r="B270" t="str">
            <v>D-IH2R</v>
          </cell>
          <cell r="C270" t="str">
            <v>VAR_cap</v>
          </cell>
          <cell r="D270" t="str">
            <v>-</v>
          </cell>
          <cell r="I270">
            <v>0.19834556299608999</v>
          </cell>
          <cell r="J270">
            <v>0.27853865852933102</v>
          </cell>
          <cell r="K270">
            <v>0.30717171893929002</v>
          </cell>
        </row>
        <row r="271">
          <cell r="B271" t="str">
            <v>ESOL-PV_E</v>
          </cell>
          <cell r="C271" t="str">
            <v>VAR_fout</v>
          </cell>
          <cell r="D271" t="str">
            <v>CELC_E</v>
          </cell>
          <cell r="I271">
            <v>1.6457399526559211E-5</v>
          </cell>
          <cell r="J271">
            <v>1.1950572467309968</v>
          </cell>
          <cell r="K271">
            <v>1.1950571437261717</v>
          </cell>
        </row>
        <row r="272">
          <cell r="B272" t="str">
            <v>ESOL-PV_E</v>
          </cell>
          <cell r="C272" t="str">
            <v>VAR_fin</v>
          </cell>
          <cell r="D272" t="str">
            <v>SOL</v>
          </cell>
          <cell r="I272">
            <v>1.6457399526559211E-5</v>
          </cell>
          <cell r="J272">
            <v>1.1950572467309968</v>
          </cell>
          <cell r="K272">
            <v>1.1950571437261717</v>
          </cell>
        </row>
        <row r="273">
          <cell r="B273" t="str">
            <v>ESOL-PV_E</v>
          </cell>
          <cell r="C273" t="str">
            <v>VAR_fin</v>
          </cell>
          <cell r="D273" t="str">
            <v>SOLPVC</v>
          </cell>
          <cell r="I273">
            <v>1.6457399526559201E-5</v>
          </cell>
          <cell r="J273">
            <v>1.1950572467309999</v>
          </cell>
          <cell r="K273">
            <v>1.1950571437261699</v>
          </cell>
        </row>
        <row r="274">
          <cell r="B274" t="str">
            <v>ESOL-PV_E</v>
          </cell>
          <cell r="C274" t="str">
            <v>VAR_ncap</v>
          </cell>
          <cell r="D274" t="str">
            <v>-</v>
          </cell>
          <cell r="I274">
            <v>4.4579712382512202E-6</v>
          </cell>
          <cell r="J274">
            <v>0.34449538141878699</v>
          </cell>
          <cell r="K274">
            <v>1.2427274364791701E-7</v>
          </cell>
        </row>
        <row r="275">
          <cell r="B275" t="str">
            <v>ESOL-PV_E</v>
          </cell>
          <cell r="C275" t="str">
            <v>VAR_cap</v>
          </cell>
          <cell r="D275" t="str">
            <v>-</v>
          </cell>
          <cell r="I275">
            <v>4.7701496235726599E-6</v>
          </cell>
          <cell r="J275">
            <v>0.34450015156841102</v>
          </cell>
          <cell r="K275">
            <v>0.344500275841155</v>
          </cell>
        </row>
        <row r="276">
          <cell r="B276" t="str">
            <v>EWSTINC</v>
          </cell>
          <cell r="C276" t="str">
            <v>VAR_fout</v>
          </cell>
          <cell r="D276" t="str">
            <v>ELC35</v>
          </cell>
          <cell r="I276">
            <v>7.4918605790658646</v>
          </cell>
          <cell r="J276">
            <v>4.9245441417850584</v>
          </cell>
          <cell r="K276">
            <v>1.0447478733832142E-3</v>
          </cell>
        </row>
        <row r="277">
          <cell r="B277" t="str">
            <v>EWSTINC</v>
          </cell>
          <cell r="C277" t="str">
            <v>VAR_fout</v>
          </cell>
          <cell r="D277" t="str">
            <v>CO2_E</v>
          </cell>
          <cell r="I277">
            <v>1944.97450510862</v>
          </cell>
          <cell r="J277">
            <v>1278.4691738414899</v>
          </cell>
          <cell r="K277">
            <v>0.27122874972803601</v>
          </cell>
        </row>
        <row r="278">
          <cell r="B278" t="str">
            <v>EWSTINC</v>
          </cell>
          <cell r="C278" t="str">
            <v>VAR_fin</v>
          </cell>
          <cell r="D278" t="str">
            <v>EWST</v>
          </cell>
          <cell r="I278">
            <v>20.958776994704898</v>
          </cell>
          <cell r="J278">
            <v>13.77660747674015</v>
          </cell>
          <cell r="K278">
            <v>2.9227235962072861E-3</v>
          </cell>
        </row>
        <row r="279">
          <cell r="B279" t="str">
            <v>EWSTINC</v>
          </cell>
          <cell r="C279" t="str">
            <v>VAR_ncap</v>
          </cell>
          <cell r="D279" t="str">
            <v>-</v>
          </cell>
          <cell r="I279">
            <v>7.2180132626381496E-2</v>
          </cell>
          <cell r="J279">
            <v>3.22464876107302E-8</v>
          </cell>
          <cell r="K279">
            <v>2.29145347329887E-8</v>
          </cell>
        </row>
        <row r="280">
          <cell r="B280" t="str">
            <v>EWSTINC</v>
          </cell>
          <cell r="C280" t="str">
            <v>VAR_cap</v>
          </cell>
          <cell r="D280" t="str">
            <v>-</v>
          </cell>
          <cell r="I280">
            <v>0.279488695756965</v>
          </cell>
          <cell r="J280">
            <v>0.196645598435395</v>
          </cell>
          <cell r="K280">
            <v>6.4374461053701149E-5</v>
          </cell>
        </row>
        <row r="281">
          <cell r="B281" t="str">
            <v>D-IBIO</v>
          </cell>
          <cell r="C281" t="str">
            <v>VAR_fout</v>
          </cell>
          <cell r="D281" t="str">
            <v>IBIO</v>
          </cell>
          <cell r="I281">
            <v>10.858153656976414</v>
          </cell>
          <cell r="J281">
            <v>11.287304822417072</v>
          </cell>
          <cell r="K281">
            <v>11.849421680309014</v>
          </cell>
        </row>
        <row r="282">
          <cell r="B282" t="str">
            <v>D-IBIO</v>
          </cell>
          <cell r="C282" t="str">
            <v>VAR_fin</v>
          </cell>
          <cell r="D282" t="str">
            <v>BIO</v>
          </cell>
          <cell r="I282">
            <v>10.858153656976414</v>
          </cell>
          <cell r="J282">
            <v>11.287304822417072</v>
          </cell>
          <cell r="K282">
            <v>11.849421680309014</v>
          </cell>
        </row>
        <row r="283">
          <cell r="B283" t="str">
            <v>D-EWOD</v>
          </cell>
          <cell r="C283" t="str">
            <v>VAR_fout</v>
          </cell>
          <cell r="D283" t="str">
            <v>EWOD</v>
          </cell>
          <cell r="I283">
            <v>5.520409814167305</v>
          </cell>
          <cell r="J283">
            <v>5.8597858234831355</v>
          </cell>
          <cell r="K283">
            <v>12.055989538735963</v>
          </cell>
        </row>
        <row r="284">
          <cell r="B284" t="str">
            <v>D-EWOD</v>
          </cell>
          <cell r="C284" t="str">
            <v>VAR_fin</v>
          </cell>
          <cell r="D284" t="str">
            <v>WOD</v>
          </cell>
          <cell r="I284">
            <v>5.520409814167305</v>
          </cell>
          <cell r="J284">
            <v>5.8597858234831355</v>
          </cell>
          <cell r="K284">
            <v>12.055989538735963</v>
          </cell>
        </row>
        <row r="285">
          <cell r="B285" t="str">
            <v>HPLWOD</v>
          </cell>
          <cell r="C285" t="str">
            <v>VAR_fout</v>
          </cell>
          <cell r="D285" t="str">
            <v>LTH</v>
          </cell>
          <cell r="I285">
            <v>1.594930238078538</v>
          </cell>
          <cell r="J285">
            <v>1.2345632210658068</v>
          </cell>
          <cell r="K285">
            <v>0.7391807550665167</v>
          </cell>
        </row>
        <row r="286">
          <cell r="B286" t="str">
            <v>HPLWOD</v>
          </cell>
          <cell r="C286" t="str">
            <v>VAR_fin</v>
          </cell>
          <cell r="D286" t="str">
            <v>EWOD</v>
          </cell>
          <cell r="I286">
            <v>2.2784717686836262</v>
          </cell>
          <cell r="J286">
            <v>1.7636617443797236</v>
          </cell>
          <cell r="K286">
            <v>1.0559725072378818</v>
          </cell>
        </row>
        <row r="287">
          <cell r="B287" t="str">
            <v>HPLWOD</v>
          </cell>
          <cell r="C287" t="str">
            <v>VAR_ncap</v>
          </cell>
          <cell r="D287" t="str">
            <v>-</v>
          </cell>
          <cell r="I287">
            <v>3.3681109083590802E-2</v>
          </cell>
          <cell r="J287">
            <v>6.3910699665293502E-2</v>
          </cell>
          <cell r="K287">
            <v>3.3558397690393801E-2</v>
          </cell>
        </row>
        <row r="288">
          <cell r="B288" t="str">
            <v>HPLWOD</v>
          </cell>
          <cell r="C288" t="str">
            <v>VAR_cap</v>
          </cell>
          <cell r="D288" t="str">
            <v>-</v>
          </cell>
          <cell r="I288">
            <v>0.20230359728476</v>
          </cell>
          <cell r="J288">
            <v>0.15659806490817901</v>
          </cell>
          <cell r="K288">
            <v>0.124308468526575</v>
          </cell>
        </row>
        <row r="289">
          <cell r="B289" t="str">
            <v>ENGA-GTCC</v>
          </cell>
          <cell r="C289" t="str">
            <v>VAR_fout</v>
          </cell>
          <cell r="D289" t="str">
            <v>ELC13</v>
          </cell>
          <cell r="I289"/>
          <cell r="J289">
            <v>4.5695460708219943E-6</v>
          </cell>
          <cell r="K289">
            <v>2.7255800190694704E-3</v>
          </cell>
        </row>
        <row r="290">
          <cell r="B290" t="str">
            <v>ENGA-GTCC</v>
          </cell>
          <cell r="C290" t="str">
            <v>VAR_fout</v>
          </cell>
          <cell r="D290" t="str">
            <v>CO2_E</v>
          </cell>
          <cell r="I290"/>
          <cell r="J290">
            <v>4.6968400272105602E-4</v>
          </cell>
          <cell r="K290">
            <v>0.26791228909058601</v>
          </cell>
        </row>
        <row r="291">
          <cell r="B291" t="str">
            <v>ENGA-GTCC</v>
          </cell>
          <cell r="C291" t="str">
            <v>VAR_fin</v>
          </cell>
          <cell r="D291" t="str">
            <v>ENGA</v>
          </cell>
          <cell r="I291"/>
          <cell r="J291">
            <v>8.3277305446995702E-6</v>
          </cell>
          <cell r="K291">
            <v>4.7502178916770492E-3</v>
          </cell>
        </row>
        <row r="292">
          <cell r="B292" t="str">
            <v>ENGA-GTCC</v>
          </cell>
          <cell r="C292" t="str">
            <v>VAR_fin</v>
          </cell>
          <cell r="D292" t="str">
            <v>GTC</v>
          </cell>
          <cell r="I292"/>
          <cell r="J292">
            <v>1.39377853434336E-6</v>
          </cell>
          <cell r="K292">
            <v>2.6875166732897275E-4</v>
          </cell>
        </row>
        <row r="293">
          <cell r="B293" t="str">
            <v>ENGA-GTCC</v>
          </cell>
          <cell r="C293" t="str">
            <v>VAR_ncap</v>
          </cell>
          <cell r="D293" t="str">
            <v>-</v>
          </cell>
          <cell r="I293"/>
          <cell r="J293">
            <v>2.8947255761240899E-6</v>
          </cell>
          <cell r="K293">
            <v>3.5944654941799501E-4</v>
          </cell>
        </row>
        <row r="294">
          <cell r="B294" t="str">
            <v>ENGA-GTCC</v>
          </cell>
          <cell r="C294" t="str">
            <v>VAR_cap</v>
          </cell>
          <cell r="D294" t="str">
            <v>-</v>
          </cell>
          <cell r="I294"/>
          <cell r="J294">
            <v>1.39377853434336E-6</v>
          </cell>
          <cell r="K294">
            <v>2.6875166732897264E-4</v>
          </cell>
        </row>
        <row r="295">
          <cell r="B295" t="str">
            <v>D-SNGA</v>
          </cell>
          <cell r="C295" t="str">
            <v>VAR_fout</v>
          </cell>
          <cell r="D295" t="str">
            <v>CO2</v>
          </cell>
          <cell r="I295">
            <v>643.81534575911701</v>
          </cell>
          <cell r="J295">
            <v>374.55689183172501</v>
          </cell>
          <cell r="K295">
            <v>167.57551413467101</v>
          </cell>
        </row>
        <row r="296">
          <cell r="B296" t="str">
            <v>D-SNGA</v>
          </cell>
          <cell r="C296" t="str">
            <v>VAR_fout</v>
          </cell>
          <cell r="D296" t="str">
            <v>SNGA</v>
          </cell>
          <cell r="I296">
            <v>11.37895012877707</v>
          </cell>
          <cell r="J296">
            <v>6.6418681105313029</v>
          </cell>
          <cell r="K296">
            <v>3.1262942109901775</v>
          </cell>
        </row>
        <row r="297">
          <cell r="B297" t="str">
            <v>D-SNGA</v>
          </cell>
          <cell r="C297" t="str">
            <v>VAR_fout</v>
          </cell>
          <cell r="D297" t="str">
            <v>RSH2</v>
          </cell>
          <cell r="I297">
            <v>7.2451328750970006E-4</v>
          </cell>
          <cell r="J297">
            <v>1.3388487607128191E-2</v>
          </cell>
          <cell r="K297">
            <v>7.7523970874605894E-3</v>
          </cell>
        </row>
        <row r="298">
          <cell r="B298" t="str">
            <v>D-SNGA</v>
          </cell>
          <cell r="C298" t="str">
            <v>VAR_fin</v>
          </cell>
          <cell r="D298" t="str">
            <v>NGA</v>
          </cell>
          <cell r="I298">
            <v>11.415165704948881</v>
          </cell>
          <cell r="J298">
            <v>6.6410796424064795</v>
          </cell>
          <cell r="K298">
            <v>2.9711970591253691</v>
          </cell>
        </row>
        <row r="299">
          <cell r="B299" t="str">
            <v>D-SNGA</v>
          </cell>
          <cell r="C299" t="str">
            <v>VAR_fin</v>
          </cell>
          <cell r="D299" t="str">
            <v>BNGA</v>
          </cell>
          <cell r="I299">
            <v>1.4942362774648834E-4</v>
          </cell>
          <cell r="J299">
            <v>2.2135985471149346E-2</v>
          </cell>
          <cell r="K299">
            <v>0.16523428559948686</v>
          </cell>
        </row>
        <row r="300">
          <cell r="B300" t="str">
            <v>D-SNGA</v>
          </cell>
          <cell r="C300" t="str">
            <v>VAR_fin</v>
          </cell>
          <cell r="D300" t="str">
            <v>H2</v>
          </cell>
          <cell r="I300">
            <v>7.2425175733419468E-4</v>
          </cell>
          <cell r="J300">
            <v>1.3387455593551135E-2</v>
          </cell>
          <cell r="K300">
            <v>7.7499635055237508E-3</v>
          </cell>
        </row>
        <row r="301">
          <cell r="B301" t="str">
            <v>D-SNGA</v>
          </cell>
          <cell r="C301" t="str">
            <v>VAR_ncap</v>
          </cell>
          <cell r="D301" t="str">
            <v>-</v>
          </cell>
          <cell r="I301">
            <v>1.9379972398221801E-7</v>
          </cell>
          <cell r="J301">
            <v>2.75375301944591E-7</v>
          </cell>
          <cell r="K301">
            <v>5.0679557315826397E-7</v>
          </cell>
        </row>
        <row r="302">
          <cell r="B302" t="str">
            <v>D-SNGA</v>
          </cell>
          <cell r="C302" t="str">
            <v>VAR_cap</v>
          </cell>
          <cell r="D302" t="str">
            <v>-</v>
          </cell>
          <cell r="I302">
            <v>2.2350530628172884</v>
          </cell>
          <cell r="J302">
            <v>2.2350533381925906</v>
          </cell>
          <cell r="K302">
            <v>1.1208921458518832</v>
          </cell>
        </row>
        <row r="303">
          <cell r="B303" t="str">
            <v>RHES-CHPWOD</v>
          </cell>
          <cell r="C303" t="str">
            <v>VAR_fout</v>
          </cell>
          <cell r="D303" t="str">
            <v>RHES_KEV_WOD_ELC_CHP</v>
          </cell>
          <cell r="I303">
            <v>6.5555373549773836E-4</v>
          </cell>
          <cell r="J303">
            <v>7.0082826178465387E-4</v>
          </cell>
          <cell r="K303">
            <v>2.8038151379972034E-4</v>
          </cell>
        </row>
        <row r="304">
          <cell r="B304" t="str">
            <v>RHES-CHPWOD</v>
          </cell>
          <cell r="C304" t="str">
            <v>VAR_fout</v>
          </cell>
          <cell r="D304" t="str">
            <v>RHES_LTH_CHPWOD</v>
          </cell>
          <cell r="I304">
            <v>1.7331474772959931E-3</v>
          </cell>
          <cell r="J304">
            <v>1.8137543572712327E-3</v>
          </cell>
          <cell r="K304">
            <v>6.968367766706765E-4</v>
          </cell>
        </row>
        <row r="305">
          <cell r="B305" t="str">
            <v>RHES-CHPWOD</v>
          </cell>
          <cell r="C305" t="str">
            <v>VAR_fin</v>
          </cell>
          <cell r="D305" t="str">
            <v>RWOD</v>
          </cell>
          <cell r="I305">
            <v>2.8998039355218499E-3</v>
          </cell>
          <cell r="J305">
            <v>3.085706658371188E-3</v>
          </cell>
          <cell r="K305">
            <v>1.468493399579705E-3</v>
          </cell>
        </row>
        <row r="306">
          <cell r="B306" t="str">
            <v>RHES-CHPWOD</v>
          </cell>
          <cell r="C306" t="str">
            <v>VAR_ncap</v>
          </cell>
          <cell r="D306" t="str">
            <v>-</v>
          </cell>
          <cell r="I306">
            <v>2.8194705420381002E-5</v>
          </cell>
          <cell r="J306">
            <v>1.35610614181699E-5</v>
          </cell>
          <cell r="K306">
            <v>3.15510331645373E-6</v>
          </cell>
        </row>
        <row r="307">
          <cell r="B307" t="str">
            <v>RHES-CHPWOD</v>
          </cell>
          <cell r="C307" t="str">
            <v>VAR_cap</v>
          </cell>
          <cell r="D307" t="str">
            <v>-</v>
          </cell>
          <cell r="I307">
            <v>5.8281732464863298E-5</v>
          </cell>
          <cell r="J307">
            <v>6.2284404759446082E-5</v>
          </cell>
          <cell r="K307">
            <v>2.4901500346404077E-5</v>
          </cell>
        </row>
        <row r="308">
          <cell r="B308" t="str">
            <v>G-INTC-RES</v>
          </cell>
          <cell r="C308" t="str">
            <v>VAR_fout</v>
          </cell>
          <cell r="D308" t="str">
            <v>RHNS_ELC</v>
          </cell>
          <cell r="I308">
            <v>11.616855414771077</v>
          </cell>
          <cell r="J308">
            <v>11.441872906149854</v>
          </cell>
          <cell r="K308">
            <v>10.258036300427802</v>
          </cell>
        </row>
        <row r="309">
          <cell r="B309" t="str">
            <v>G-INTC-RES</v>
          </cell>
          <cell r="C309" t="str">
            <v>VAR_fout</v>
          </cell>
          <cell r="D309" t="str">
            <v>ELC35</v>
          </cell>
          <cell r="I309">
            <v>9.5016603241224672E-4</v>
          </cell>
          <cell r="J309">
            <v>5.7501658037367417E-4</v>
          </cell>
          <cell r="K309">
            <v>4.5677304323662131E-4</v>
          </cell>
        </row>
        <row r="310">
          <cell r="B310" t="str">
            <v>G-INTC-RES</v>
          </cell>
          <cell r="C310" t="str">
            <v>VAR_fout</v>
          </cell>
          <cell r="D310" t="str">
            <v>RHES_ELC</v>
          </cell>
          <cell r="I310">
            <v>16.950741063032201</v>
          </cell>
          <cell r="J310">
            <v>16.887805283668822</v>
          </cell>
          <cell r="K310">
            <v>14.50406605107878</v>
          </cell>
        </row>
        <row r="311">
          <cell r="B311" t="str">
            <v>G-INTC-RES</v>
          </cell>
          <cell r="C311" t="str">
            <v>VAR_fout</v>
          </cell>
          <cell r="D311" t="str">
            <v>RHNM_ELC</v>
          </cell>
          <cell r="I311">
            <v>13.315471708655918</v>
          </cell>
          <cell r="J311">
            <v>13.025723515986419</v>
          </cell>
          <cell r="K311">
            <v>11.879240974185507</v>
          </cell>
        </row>
        <row r="312">
          <cell r="B312" t="str">
            <v>G-INTC-RES</v>
          </cell>
          <cell r="C312" t="str">
            <v>VAR_fout</v>
          </cell>
          <cell r="D312" t="str">
            <v>RHEM_ELC</v>
          </cell>
          <cell r="I312">
            <v>16.066506790962855</v>
          </cell>
          <cell r="J312">
            <v>16.619519167839755</v>
          </cell>
          <cell r="K312">
            <v>14.871768131663146</v>
          </cell>
        </row>
        <row r="313">
          <cell r="B313" t="str">
            <v>G-INTC-RES</v>
          </cell>
          <cell r="C313" t="str">
            <v>VAR_fin</v>
          </cell>
          <cell r="D313" t="str">
            <v>ELC5</v>
          </cell>
          <cell r="I313">
            <v>57.950525143454456</v>
          </cell>
          <cell r="J313">
            <v>57.975486152074765</v>
          </cell>
          <cell r="K313">
            <v>51.513560028950685</v>
          </cell>
        </row>
        <row r="314">
          <cell r="B314" t="str">
            <v>G-INTC-RES</v>
          </cell>
          <cell r="C314" t="str">
            <v>VAR_ncap</v>
          </cell>
          <cell r="D314" t="str">
            <v>-</v>
          </cell>
          <cell r="I314">
            <v>4.6687155114390098E-8</v>
          </cell>
          <cell r="J314">
            <v>6.4482135340309404E-8</v>
          </cell>
          <cell r="K314">
            <v>1.1920849597530201E-7</v>
          </cell>
        </row>
        <row r="315">
          <cell r="B315" t="str">
            <v>G-INTC-RES</v>
          </cell>
          <cell r="C315" t="str">
            <v>VAR_cap</v>
          </cell>
          <cell r="D315" t="str">
            <v>-</v>
          </cell>
          <cell r="I315">
            <v>4.3300926486687201</v>
          </cell>
          <cell r="J315">
            <v>4.3300927151602124</v>
          </cell>
          <cell r="K315">
            <v>4.3300928368049032</v>
          </cell>
        </row>
        <row r="316">
          <cell r="B316" t="str">
            <v>SCOM-CHPNGA</v>
          </cell>
          <cell r="C316" t="str">
            <v>VAR_fout</v>
          </cell>
          <cell r="D316" t="str">
            <v>CO2_S</v>
          </cell>
          <cell r="I316">
            <v>28.870525377384801</v>
          </cell>
          <cell r="J316">
            <v>37.775468704218802</v>
          </cell>
          <cell r="K316"/>
        </row>
        <row r="317">
          <cell r="B317" t="str">
            <v>SCOM-CHPNGA</v>
          </cell>
          <cell r="C317" t="str">
            <v>VAR_fout</v>
          </cell>
          <cell r="D317" t="str">
            <v>SCOM_NKEV_GAS_ELC_CHP</v>
          </cell>
          <cell r="I317">
            <v>0.18357835793130681</v>
          </cell>
          <cell r="J317">
            <v>0.24044837524622845</v>
          </cell>
          <cell r="K317"/>
        </row>
        <row r="318">
          <cell r="B318" t="str">
            <v>SCOM-CHPNGA</v>
          </cell>
          <cell r="C318" t="str">
            <v>VAR_fout</v>
          </cell>
          <cell r="D318" t="str">
            <v>SCOM_LTH_CHPNGA</v>
          </cell>
          <cell r="I318">
            <v>0.26000078176986507</v>
          </cell>
          <cell r="J318">
            <v>0.36067256286934257</v>
          </cell>
          <cell r="K318"/>
        </row>
        <row r="319">
          <cell r="B319" t="str">
            <v>SCOM-CHPNGA</v>
          </cell>
          <cell r="C319" t="str">
            <v>VAR_fin</v>
          </cell>
          <cell r="D319" t="str">
            <v>SNGA</v>
          </cell>
          <cell r="I319">
            <v>0.51188874782597227</v>
          </cell>
          <cell r="J319">
            <v>0.66977781390458935</v>
          </cell>
          <cell r="K319"/>
        </row>
        <row r="320">
          <cell r="B320" t="str">
            <v>SCOM-CHPNGA</v>
          </cell>
          <cell r="C320" t="str">
            <v>VAR_ncap</v>
          </cell>
          <cell r="D320" t="str">
            <v>-</v>
          </cell>
          <cell r="I320"/>
          <cell r="J320"/>
          <cell r="K320"/>
        </row>
        <row r="321">
          <cell r="B321" t="str">
            <v>SCOM-CHPNGA</v>
          </cell>
          <cell r="C321" t="str">
            <v>VAR_cap</v>
          </cell>
          <cell r="D321" t="str">
            <v>-</v>
          </cell>
          <cell r="I321">
            <v>2.7216828290153441E-2</v>
          </cell>
          <cell r="J321">
            <v>1.4111518595188954E-2</v>
          </cell>
          <cell r="K321"/>
        </row>
        <row r="322">
          <cell r="B322" t="str">
            <v>D-IPLT</v>
          </cell>
          <cell r="C322" t="str">
            <v>VAR_fout</v>
          </cell>
          <cell r="D322" t="str">
            <v>IPLT</v>
          </cell>
          <cell r="I322">
            <v>4.1090092178506463</v>
          </cell>
          <cell r="J322">
            <v>4.0975327302061189</v>
          </cell>
          <cell r="K322">
            <v>4.0747699572268594</v>
          </cell>
        </row>
        <row r="323">
          <cell r="B323" t="str">
            <v>D-IPLT</v>
          </cell>
          <cell r="C323" t="str">
            <v>VAR_fin</v>
          </cell>
          <cell r="D323" t="str">
            <v>PLT</v>
          </cell>
          <cell r="I323">
            <v>4.1090092178506463</v>
          </cell>
          <cell r="J323">
            <v>4.0975327302061189</v>
          </cell>
          <cell r="K323">
            <v>4.0747699572268594</v>
          </cell>
        </row>
        <row r="324">
          <cell r="B324" t="str">
            <v>LTH-STG</v>
          </cell>
          <cell r="C324" t="str">
            <v>VAR_fout</v>
          </cell>
          <cell r="D324" t="str">
            <v>AUX_LTH-STG_OUT</v>
          </cell>
          <cell r="I324">
            <v>4.8766117515487261E-4</v>
          </cell>
          <cell r="J324">
            <v>1.6092978752007211E-3</v>
          </cell>
          <cell r="K324">
            <v>0.42146645414298139</v>
          </cell>
        </row>
        <row r="325">
          <cell r="B325" t="str">
            <v>LTH-STG</v>
          </cell>
          <cell r="C325" t="str">
            <v>VAR_fout</v>
          </cell>
          <cell r="D325" t="str">
            <v>LTH</v>
          </cell>
          <cell r="I325">
            <v>4.8810939314674213E-4</v>
          </cell>
          <cell r="J325">
            <v>1.6092978752007174E-3</v>
          </cell>
          <cell r="K325">
            <v>0.4214664541429809</v>
          </cell>
        </row>
        <row r="326">
          <cell r="B326" t="str">
            <v>LTH-STG</v>
          </cell>
          <cell r="C326" t="str">
            <v>VAR_fin</v>
          </cell>
          <cell r="D326" t="str">
            <v>AUX_LTH-STG_IN</v>
          </cell>
          <cell r="I326">
            <v>5.9272629485266487E-4</v>
          </cell>
          <cell r="J326">
            <v>1.8945241799944042E-3</v>
          </cell>
          <cell r="K326">
            <v>0.46829646819982956</v>
          </cell>
        </row>
        <row r="327">
          <cell r="B327" t="str">
            <v>LTH-STG</v>
          </cell>
          <cell r="C327" t="str">
            <v>VAR_fin</v>
          </cell>
          <cell r="D327" t="str">
            <v>LTH</v>
          </cell>
          <cell r="I327">
            <v>5.9272629485266487E-4</v>
          </cell>
          <cell r="J327">
            <v>1.8945241799944042E-3</v>
          </cell>
          <cell r="K327">
            <v>0.46829646819982956</v>
          </cell>
        </row>
        <row r="328">
          <cell r="B328" t="str">
            <v>LTH-STG</v>
          </cell>
          <cell r="C328" t="str">
            <v>VAR_ncap</v>
          </cell>
          <cell r="D328" t="str">
            <v>-</v>
          </cell>
          <cell r="I328">
            <v>7.2129428883560394E-5</v>
          </cell>
          <cell r="J328">
            <v>5.1522227798207102E-5</v>
          </cell>
          <cell r="K328">
            <v>4.5694787338941702E-2</v>
          </cell>
        </row>
        <row r="329">
          <cell r="B329" t="str">
            <v>LTH-STG</v>
          </cell>
          <cell r="C329" t="str">
            <v>VAR_cap</v>
          </cell>
          <cell r="D329" t="str">
            <v>-</v>
          </cell>
          <cell r="I329">
            <v>1.5108183165972951E-4</v>
          </cell>
          <cell r="J329">
            <v>1.5069757735685694E-4</v>
          </cell>
          <cell r="K329">
            <v>4.5802980767407554E-2</v>
          </cell>
        </row>
        <row r="330">
          <cell r="B330" t="str">
            <v>ITOT-CHPOIL</v>
          </cell>
          <cell r="C330" t="str">
            <v>VAR_fout</v>
          </cell>
          <cell r="D330" t="str">
            <v>ITOT_LTH_CHP</v>
          </cell>
          <cell r="I330">
            <v>0.84809259071704668</v>
          </cell>
          <cell r="J330"/>
          <cell r="K330"/>
        </row>
        <row r="331">
          <cell r="B331" t="str">
            <v>ITOT-CHPOIL</v>
          </cell>
          <cell r="C331" t="str">
            <v>VAR_fout</v>
          </cell>
          <cell r="D331" t="str">
            <v>ITOT_NKEV_OIL_ELC_CHP</v>
          </cell>
          <cell r="I331">
            <v>0.17105557250232589</v>
          </cell>
          <cell r="J331"/>
          <cell r="K331"/>
        </row>
        <row r="332">
          <cell r="B332" t="str">
            <v>ITOT-CHPOIL</v>
          </cell>
          <cell r="C332" t="str">
            <v>VAR_fout</v>
          </cell>
          <cell r="D332" t="str">
            <v>CO2_I</v>
          </cell>
          <cell r="I332">
            <v>47.8693723269107</v>
          </cell>
          <cell r="J332"/>
          <cell r="K332"/>
        </row>
        <row r="333">
          <cell r="B333" t="str">
            <v>ITOT-CHPOIL</v>
          </cell>
          <cell r="C333" t="str">
            <v>VAR_fin</v>
          </cell>
          <cell r="D333" t="str">
            <v>ILFO</v>
          </cell>
          <cell r="I333">
            <v>0.64951658516839472</v>
          </cell>
          <cell r="J333"/>
          <cell r="K333"/>
        </row>
        <row r="334">
          <cell r="B334" t="str">
            <v>ITOT-CHPOIL</v>
          </cell>
          <cell r="C334" t="str">
            <v>VAR_ncap</v>
          </cell>
          <cell r="D334" t="str">
            <v>-</v>
          </cell>
          <cell r="I334"/>
          <cell r="J334"/>
          <cell r="K334"/>
        </row>
        <row r="335">
          <cell r="B335" t="str">
            <v>ITOT-CHPOIL</v>
          </cell>
          <cell r="C335" t="str">
            <v>VAR_cap</v>
          </cell>
          <cell r="D335" t="str">
            <v>-</v>
          </cell>
          <cell r="I335">
            <v>9.7060880204964672E-3</v>
          </cell>
          <cell r="J335"/>
          <cell r="K335"/>
        </row>
        <row r="336">
          <cell r="B336" t="str">
            <v>ENUC_GOE</v>
          </cell>
          <cell r="C336" t="str">
            <v>VAR_fout</v>
          </cell>
          <cell r="D336" t="str">
            <v>ELC</v>
          </cell>
          <cell r="I336"/>
          <cell r="J336"/>
          <cell r="K336"/>
        </row>
        <row r="337">
          <cell r="B337" t="str">
            <v>ENUC_GOE</v>
          </cell>
          <cell r="C337" t="str">
            <v>VAR_fin</v>
          </cell>
          <cell r="D337" t="str">
            <v>URN</v>
          </cell>
          <cell r="I337"/>
          <cell r="J337"/>
          <cell r="K337"/>
        </row>
        <row r="338">
          <cell r="B338" t="str">
            <v>ENUC_GOE</v>
          </cell>
          <cell r="C338" t="str">
            <v>VAR_cap</v>
          </cell>
          <cell r="D338" t="str">
            <v>-</v>
          </cell>
          <cell r="I338"/>
          <cell r="J338"/>
          <cell r="K338"/>
        </row>
        <row r="339">
          <cell r="B339" t="str">
            <v>D-RNGA</v>
          </cell>
          <cell r="C339" t="str">
            <v>VAR_fout</v>
          </cell>
          <cell r="D339" t="str">
            <v>CO2</v>
          </cell>
          <cell r="I339">
            <v>1337.19533335654</v>
          </cell>
          <cell r="J339">
            <v>758.46308835883303</v>
          </cell>
          <cell r="K339">
            <v>407.142331555385</v>
          </cell>
        </row>
        <row r="340">
          <cell r="B340" t="str">
            <v>D-RNGA</v>
          </cell>
          <cell r="C340" t="str">
            <v>VAR_fout</v>
          </cell>
          <cell r="D340" t="str">
            <v>RNGA</v>
          </cell>
          <cell r="I340">
            <v>23.63376807292347</v>
          </cell>
          <cell r="J340">
            <v>13.437695010708632</v>
          </cell>
          <cell r="K340">
            <v>7.4335370996664247</v>
          </cell>
        </row>
        <row r="341">
          <cell r="B341" t="str">
            <v>D-RNGA</v>
          </cell>
          <cell r="C341" t="str">
            <v>VAR_fout</v>
          </cell>
          <cell r="D341" t="str">
            <v>RSH2</v>
          </cell>
          <cell r="I341">
            <v>8.6228675848269763E-4</v>
          </cell>
          <cell r="J341">
            <v>3.5218705855762082E-2</v>
          </cell>
          <cell r="K341">
            <v>2.0733695680469177E-2</v>
          </cell>
        </row>
        <row r="342">
          <cell r="B342" t="str">
            <v>D-RNGA</v>
          </cell>
          <cell r="C342" t="str">
            <v>VAR_fin</v>
          </cell>
          <cell r="D342" t="str">
            <v>NGA</v>
          </cell>
          <cell r="I342">
            <v>23.709137116250719</v>
          </cell>
          <cell r="J342">
            <v>13.447927098560859</v>
          </cell>
          <cell r="K342">
            <v>7.2188356658756083</v>
          </cell>
        </row>
        <row r="343">
          <cell r="B343" t="str">
            <v>D-RNGA</v>
          </cell>
          <cell r="C343" t="str">
            <v>VAR_fin</v>
          </cell>
          <cell r="D343" t="str">
            <v>BNGA</v>
          </cell>
          <cell r="I343">
            <v>1.5099414701871347E-4</v>
          </cell>
          <cell r="J343">
            <v>3.2896277117664512E-2</v>
          </cell>
          <cell r="K343">
            <v>0.2385792309716723</v>
          </cell>
        </row>
        <row r="344">
          <cell r="B344" t="str">
            <v>D-RNGA</v>
          </cell>
          <cell r="C344" t="str">
            <v>VAR_fin</v>
          </cell>
          <cell r="D344" t="str">
            <v>H2</v>
          </cell>
          <cell r="I344">
            <v>8.6202287964637445E-4</v>
          </cell>
          <cell r="J344">
            <v>3.5217189645277563E-2</v>
          </cell>
          <cell r="K344">
            <v>2.0731776617584168E-2</v>
          </cell>
        </row>
        <row r="345">
          <cell r="B345" t="str">
            <v>D-RNGA</v>
          </cell>
          <cell r="C345" t="str">
            <v>VAR_ncap</v>
          </cell>
          <cell r="D345" t="str">
            <v>-</v>
          </cell>
          <cell r="I345">
            <v>7.5876699665347403E-8</v>
          </cell>
          <cell r="J345">
            <v>1.1319119378294E-7</v>
          </cell>
          <cell r="K345">
            <v>1.9962091173572999E-7</v>
          </cell>
        </row>
        <row r="346">
          <cell r="B346" t="str">
            <v>D-RNGA</v>
          </cell>
          <cell r="C346" t="str">
            <v>VAR_cap</v>
          </cell>
          <cell r="D346" t="str">
            <v>-</v>
          </cell>
          <cell r="I346">
            <v>3.0972403558787924</v>
          </cell>
          <cell r="J346">
            <v>3.0972404690699862</v>
          </cell>
          <cell r="K346">
            <v>1.5532829093311979</v>
          </cell>
        </row>
        <row r="347">
          <cell r="B347" t="str">
            <v>ITOT-CHPHFC</v>
          </cell>
          <cell r="C347" t="str">
            <v>VAR_fout</v>
          </cell>
          <cell r="D347" t="str">
            <v>ITOT_LTH_CHP</v>
          </cell>
          <cell r="I347">
            <v>2.3825636170990675E-3</v>
          </cell>
          <cell r="J347">
            <v>0.11458350815891469</v>
          </cell>
          <cell r="K347">
            <v>0.1067775982521417</v>
          </cell>
        </row>
        <row r="348">
          <cell r="B348" t="str">
            <v>ITOT-CHPHFC</v>
          </cell>
          <cell r="C348" t="str">
            <v>VAR_fout</v>
          </cell>
          <cell r="D348" t="str">
            <v>ITOT_KEV_HFC_ELC_CHP</v>
          </cell>
          <cell r="I348">
            <v>3.536338801991118E-3</v>
          </cell>
          <cell r="J348">
            <v>0.19097251359819115</v>
          </cell>
          <cell r="K348">
            <v>0.21355519650428328</v>
          </cell>
        </row>
        <row r="349">
          <cell r="B349" t="str">
            <v>ITOT-CHPHFC</v>
          </cell>
          <cell r="C349" t="str">
            <v>VAR_fin</v>
          </cell>
          <cell r="D349" t="str">
            <v>IH2</v>
          </cell>
          <cell r="I349">
            <v>6.7681125396959153E-3</v>
          </cell>
          <cell r="J349">
            <v>0.34722275199671115</v>
          </cell>
          <cell r="K349">
            <v>0.35592532750713846</v>
          </cell>
        </row>
        <row r="350">
          <cell r="B350" t="str">
            <v>ITOT-CHPHFC</v>
          </cell>
          <cell r="C350" t="str">
            <v>VAR_ncap</v>
          </cell>
          <cell r="D350" t="str">
            <v>-</v>
          </cell>
          <cell r="I350">
            <v>1.03354610648951E-6</v>
          </cell>
          <cell r="J350">
            <v>2.26283376824034E-2</v>
          </cell>
          <cell r="K350">
            <v>5.8273256851949697E-3</v>
          </cell>
        </row>
        <row r="351">
          <cell r="B351" t="str">
            <v>ITOT-CHPHFC</v>
          </cell>
          <cell r="C351" t="str">
            <v>VAR_cap</v>
          </cell>
          <cell r="D351" t="str">
            <v>-</v>
          </cell>
          <cell r="I351">
            <v>8.0199955279002411E-4</v>
          </cell>
          <cell r="J351">
            <v>2.3176329241041918E-2</v>
          </cell>
          <cell r="K351">
            <v>2.2249820128122662E-2</v>
          </cell>
        </row>
        <row r="352">
          <cell r="B352" t="str">
            <v>G-INTC-TRA</v>
          </cell>
          <cell r="C352" t="str">
            <v>VAR_fout</v>
          </cell>
          <cell r="D352" t="str">
            <v>TRAN_ELC</v>
          </cell>
          <cell r="I352">
            <v>40.345026963905077</v>
          </cell>
          <cell r="J352">
            <v>55.971288824172802</v>
          </cell>
          <cell r="K352">
            <v>68.992459329130895</v>
          </cell>
        </row>
        <row r="353">
          <cell r="B353" t="str">
            <v>G-INTC-TRA</v>
          </cell>
          <cell r="C353" t="str">
            <v>VAR_fin</v>
          </cell>
          <cell r="D353" t="str">
            <v>ELC3</v>
          </cell>
          <cell r="I353">
            <v>40.28810129804156</v>
          </cell>
          <cell r="J353">
            <v>29.220305194972632</v>
          </cell>
          <cell r="K353">
            <v>31.657932287101186</v>
          </cell>
        </row>
        <row r="354">
          <cell r="B354" t="str">
            <v>G-INTC-TRA</v>
          </cell>
          <cell r="C354" t="str">
            <v>VAR_fin</v>
          </cell>
          <cell r="D354" t="str">
            <v>ELC5</v>
          </cell>
          <cell r="I354">
            <v>5.6925665863523128E-2</v>
          </cell>
          <cell r="J354">
            <v>26.750983629200228</v>
          </cell>
          <cell r="K354">
            <v>37.334527042029677</v>
          </cell>
        </row>
        <row r="355">
          <cell r="B355" t="str">
            <v>G-INTC-TRA</v>
          </cell>
          <cell r="C355" t="str">
            <v>VAR_ncap</v>
          </cell>
          <cell r="D355" t="str">
            <v>-</v>
          </cell>
          <cell r="I355">
            <v>0.77015053410651502</v>
          </cell>
          <cell r="J355">
            <v>5.7157344342711397E-5</v>
          </cell>
          <cell r="K355">
            <v>0.56637211672296095</v>
          </cell>
        </row>
        <row r="356">
          <cell r="B356" t="str">
            <v>G-INTC-TRA</v>
          </cell>
          <cell r="C356" t="str">
            <v>VAR_cap</v>
          </cell>
          <cell r="D356" t="str">
            <v>-</v>
          </cell>
          <cell r="I356">
            <v>1.2962170588545452</v>
          </cell>
          <cell r="J356">
            <v>1.8809290978382671</v>
          </cell>
          <cell r="K356">
            <v>2.300053707546827</v>
          </cell>
        </row>
        <row r="357">
          <cell r="B357" t="str">
            <v>SCOM-SWHSTG-CHPBIO</v>
          </cell>
          <cell r="C357" t="str">
            <v>VAR_fout</v>
          </cell>
          <cell r="D357" t="str">
            <v>AUX_SCOM-CHPBIO_OUT</v>
          </cell>
          <cell r="I357">
            <v>10.47261154937515</v>
          </cell>
          <cell r="J357">
            <v>13.364273623403754</v>
          </cell>
          <cell r="K357">
            <v>99.585069466026894</v>
          </cell>
        </row>
        <row r="358">
          <cell r="B358" t="str">
            <v>SCOM-SWHSTG-CHPBIO</v>
          </cell>
          <cell r="C358" t="str">
            <v>VAR_fout</v>
          </cell>
          <cell r="D358" t="str">
            <v>SCOM_LTH_CHPBIO</v>
          </cell>
          <cell r="I358">
            <v>10.484260727961768</v>
          </cell>
          <cell r="J358">
            <v>13.364273623403745</v>
          </cell>
          <cell r="K358">
            <v>99.585069466026866</v>
          </cell>
        </row>
        <row r="359">
          <cell r="B359" t="str">
            <v>SCOM-SWHSTG-CHPBIO</v>
          </cell>
          <cell r="C359" t="str">
            <v>VAR_fin</v>
          </cell>
          <cell r="D359" t="str">
            <v>SCOM_LTH_CHPBIO</v>
          </cell>
          <cell r="I359">
            <v>11.649174458150574</v>
          </cell>
          <cell r="J359">
            <v>14.370184003297824</v>
          </cell>
          <cell r="K359">
            <v>100.59097971347708</v>
          </cell>
        </row>
        <row r="360">
          <cell r="B360" t="str">
            <v>SCOM-SWHSTG-CHPBIO</v>
          </cell>
          <cell r="C360" t="str">
            <v>VAR_fin</v>
          </cell>
          <cell r="D360" t="str">
            <v>AUX_SCOM-CHPBIO_IN</v>
          </cell>
          <cell r="I360">
            <v>11.649174458150574</v>
          </cell>
          <cell r="J360">
            <v>14.370184003297824</v>
          </cell>
          <cell r="K360">
            <v>100.59097971347708</v>
          </cell>
        </row>
        <row r="361">
          <cell r="B361" t="str">
            <v>SCOM-SWHSTG-CHPBIO</v>
          </cell>
          <cell r="C361" t="str">
            <v>VAR_ncap</v>
          </cell>
          <cell r="D361" t="str">
            <v>-</v>
          </cell>
          <cell r="I361">
            <v>0.101764031542041</v>
          </cell>
          <cell r="J361">
            <v>0.60063187234193705</v>
          </cell>
          <cell r="K361">
            <v>5.7091185428877802</v>
          </cell>
        </row>
        <row r="362">
          <cell r="B362" t="str">
            <v>SCOM-SWHSTG-CHPBIO</v>
          </cell>
          <cell r="C362" t="str">
            <v>VAR_cap</v>
          </cell>
          <cell r="D362" t="str">
            <v>-</v>
          </cell>
          <cell r="I362">
            <v>0.65541539652365666</v>
          </cell>
          <cell r="J362">
            <v>0.8338902632787788</v>
          </cell>
          <cell r="K362">
            <v>6.1880553303408723</v>
          </cell>
        </row>
        <row r="363">
          <cell r="B363" t="str">
            <v>SCOM-SWHSTG-CHPHFC</v>
          </cell>
          <cell r="C363" t="str">
            <v>VAR_fout</v>
          </cell>
          <cell r="D363" t="str">
            <v>AUX_SCOM-CHPHFC_OUT</v>
          </cell>
          <cell r="I363">
            <v>5.9765961633323787E-3</v>
          </cell>
          <cell r="J363">
            <v>0.2204972977532425</v>
          </cell>
          <cell r="K363">
            <v>0.9253651981629526</v>
          </cell>
        </row>
        <row r="364">
          <cell r="B364" t="str">
            <v>SCOM-SWHSTG-CHPHFC</v>
          </cell>
          <cell r="C364" t="str">
            <v>VAR_fout</v>
          </cell>
          <cell r="D364" t="str">
            <v>SCOM_LTH_CHPHFC</v>
          </cell>
          <cell r="I364">
            <v>5.9832442124573273E-3</v>
          </cell>
          <cell r="J364">
            <v>0.22049729775324228</v>
          </cell>
          <cell r="K364">
            <v>0.92536519816295248</v>
          </cell>
        </row>
        <row r="365">
          <cell r="B365" t="str">
            <v>SCOM-SWHSTG-CHPHFC</v>
          </cell>
          <cell r="C365" t="str">
            <v>VAR_fin</v>
          </cell>
          <cell r="D365" t="str">
            <v>SCOM_LTH_CHPHFC</v>
          </cell>
          <cell r="I365">
            <v>6.6436110897992451E-3</v>
          </cell>
          <cell r="J365">
            <v>0.23709373746637213</v>
          </cell>
          <cell r="K365">
            <v>0.93471251121675158</v>
          </cell>
        </row>
        <row r="366">
          <cell r="B366" t="str">
            <v>SCOM-SWHSTG-CHPHFC</v>
          </cell>
          <cell r="C366" t="str">
            <v>VAR_fin</v>
          </cell>
          <cell r="D366" t="str">
            <v>AUX_SCOM-CHPHFC_IN</v>
          </cell>
          <cell r="I366">
            <v>6.6436110897992451E-3</v>
          </cell>
          <cell r="J366">
            <v>0.23709373746637213</v>
          </cell>
          <cell r="K366">
            <v>0.93471251121675158</v>
          </cell>
        </row>
        <row r="367">
          <cell r="B367" t="str">
            <v>SCOM-SWHSTG-CHPHFC</v>
          </cell>
          <cell r="C367" t="str">
            <v>VAR_ncap</v>
          </cell>
          <cell r="D367" t="str">
            <v>-</v>
          </cell>
          <cell r="I367">
            <v>1.2048048483850201E-3</v>
          </cell>
          <cell r="J367">
            <v>1.2556148498354101E-2</v>
          </cell>
          <cell r="K367">
            <v>4.7886799798131402E-2</v>
          </cell>
        </row>
        <row r="368">
          <cell r="B368" t="str">
            <v>SCOM-SWHSTG-CHPHFC</v>
          </cell>
          <cell r="C368" t="str">
            <v>VAR_cap</v>
          </cell>
          <cell r="D368" t="str">
            <v>-</v>
          </cell>
          <cell r="I368">
            <v>1.5046220839798946E-3</v>
          </cell>
          <cell r="J368">
            <v>1.3778354932296883E-2</v>
          </cell>
          <cell r="K368">
            <v>5.7501283963642916E-2</v>
          </cell>
        </row>
        <row r="369">
          <cell r="B369" t="str">
            <v>D-IHFO</v>
          </cell>
          <cell r="C369" t="str">
            <v>VAR_fout</v>
          </cell>
          <cell r="D369" t="str">
            <v>CO2</v>
          </cell>
          <cell r="I369">
            <v>4.2297569992639901E-2</v>
          </cell>
          <cell r="J369">
            <v>0.18022401883742201</v>
          </cell>
          <cell r="K369"/>
        </row>
        <row r="370">
          <cell r="B370" t="str">
            <v>D-IHFO</v>
          </cell>
          <cell r="C370" t="str">
            <v>VAR_fout</v>
          </cell>
          <cell r="D370" t="str">
            <v>IHFO</v>
          </cell>
          <cell r="I370">
            <v>5.4014482182297154E-4</v>
          </cell>
          <cell r="J370">
            <v>2.3014813985791248E-3</v>
          </cell>
          <cell r="K370"/>
        </row>
        <row r="371">
          <cell r="B371" t="str">
            <v>D-IHFO</v>
          </cell>
          <cell r="C371" t="str">
            <v>VAR_fin</v>
          </cell>
          <cell r="D371" t="str">
            <v>HFO</v>
          </cell>
          <cell r="I371">
            <v>5.493190908135052E-4</v>
          </cell>
          <cell r="J371">
            <v>2.3405716732132768E-3</v>
          </cell>
          <cell r="K371"/>
        </row>
        <row r="372">
          <cell r="B372" t="str">
            <v>RHNM-CHPNGA</v>
          </cell>
          <cell r="C372" t="str">
            <v>VAR_fout</v>
          </cell>
          <cell r="D372" t="str">
            <v>CO2_R</v>
          </cell>
          <cell r="I372">
            <v>9.4955622565518407</v>
          </cell>
          <cell r="J372">
            <v>4.9062626689687496</v>
          </cell>
          <cell r="K372"/>
        </row>
        <row r="373">
          <cell r="B373" t="str">
            <v>RHNM-CHPNGA</v>
          </cell>
          <cell r="C373" t="str">
            <v>VAR_fout</v>
          </cell>
          <cell r="D373" t="str">
            <v>RHNM_NKEV_GAS_ELC_CHP</v>
          </cell>
          <cell r="I373">
            <v>5.0530804950091927E-2</v>
          </cell>
          <cell r="J373">
            <v>2.6205237586241388E-2</v>
          </cell>
          <cell r="K373"/>
        </row>
        <row r="374">
          <cell r="B374" t="str">
            <v>RHNM-CHPNGA</v>
          </cell>
          <cell r="C374" t="str">
            <v>VAR_fout</v>
          </cell>
          <cell r="D374" t="str">
            <v>RHNM_LTH_CHPNGA</v>
          </cell>
          <cell r="I374">
            <v>0.1031601569910075</v>
          </cell>
          <cell r="J374">
            <v>5.2840069231273538E-2</v>
          </cell>
          <cell r="K374"/>
        </row>
        <row r="375">
          <cell r="B375" t="str">
            <v>RHNM-CHPNGA</v>
          </cell>
          <cell r="C375" t="str">
            <v>VAR_fin</v>
          </cell>
          <cell r="D375" t="str">
            <v>RNGA</v>
          </cell>
          <cell r="I375">
            <v>0.16836103291758578</v>
          </cell>
          <cell r="J375">
            <v>8.6990472854055867E-2</v>
          </cell>
          <cell r="K375"/>
        </row>
        <row r="376">
          <cell r="B376" t="str">
            <v>RHNM-CHPNGA</v>
          </cell>
          <cell r="C376" t="str">
            <v>VAR_ncap</v>
          </cell>
          <cell r="D376" t="str">
            <v>-</v>
          </cell>
          <cell r="I376"/>
          <cell r="J376"/>
          <cell r="K376"/>
        </row>
        <row r="377">
          <cell r="B377" t="str">
            <v>RHNM-CHPNGA</v>
          </cell>
          <cell r="C377" t="str">
            <v>VAR_cap</v>
          </cell>
          <cell r="D377" t="str">
            <v>-</v>
          </cell>
          <cell r="I377">
            <v>3.7494680526516501E-3</v>
          </cell>
          <cell r="J377">
            <v>1.9441311581680258E-3</v>
          </cell>
          <cell r="K377"/>
        </row>
        <row r="378">
          <cell r="B378" t="str">
            <v>G-INTC-EXP00-DE</v>
          </cell>
          <cell r="C378" t="str">
            <v>VAR_fout</v>
          </cell>
          <cell r="D378" t="str">
            <v>ELC_E-DE</v>
          </cell>
          <cell r="I378">
            <v>1.3195547709733777E-3</v>
          </cell>
          <cell r="J378">
            <v>2.9765412760564317E-3</v>
          </cell>
          <cell r="K378">
            <v>3.833229938470529E-4</v>
          </cell>
        </row>
        <row r="379">
          <cell r="B379" t="str">
            <v>G-INTC-EXP00-DE</v>
          </cell>
          <cell r="C379" t="str">
            <v>VAR_fin</v>
          </cell>
          <cell r="D379" t="str">
            <v>ELC</v>
          </cell>
          <cell r="I379">
            <v>1.3195547709733777E-3</v>
          </cell>
          <cell r="J379">
            <v>2.9765412760564317E-3</v>
          </cell>
          <cell r="K379">
            <v>3.833229938470529E-4</v>
          </cell>
        </row>
        <row r="380">
          <cell r="B380" t="str">
            <v>G-INTC-EXP00-DE</v>
          </cell>
          <cell r="C380" t="str">
            <v>VAR_ncap</v>
          </cell>
          <cell r="D380" t="str">
            <v>-</v>
          </cell>
          <cell r="I380">
            <v>5.0625159537667395E-7</v>
          </cell>
          <cell r="J380">
            <v>7.6707603724608195E-7</v>
          </cell>
          <cell r="K380">
            <v>1.34943488156449E-6</v>
          </cell>
        </row>
        <row r="381">
          <cell r="B381" t="str">
            <v>G-INTC-EXP00-DE</v>
          </cell>
          <cell r="C381" t="str">
            <v>VAR_cap</v>
          </cell>
          <cell r="D381" t="str">
            <v>-</v>
          </cell>
          <cell r="I381">
            <v>1.5547517191905058E-3</v>
          </cell>
          <cell r="J381">
            <v>1.5544579503883327E-3</v>
          </cell>
          <cell r="K381">
            <v>3.6661664994497301E-4</v>
          </cell>
        </row>
        <row r="382">
          <cell r="B382" t="str">
            <v>ENUC_BMGL_EXT</v>
          </cell>
          <cell r="C382" t="str">
            <v>VAR_fout</v>
          </cell>
          <cell r="D382" t="str">
            <v>ELC</v>
          </cell>
          <cell r="I382">
            <v>33.169444526895838</v>
          </cell>
          <cell r="J382">
            <v>33.169446142183162</v>
          </cell>
          <cell r="K382">
            <v>24.072174931032521</v>
          </cell>
        </row>
        <row r="383">
          <cell r="B383" t="str">
            <v>ENUC_BMGL_EXT</v>
          </cell>
          <cell r="C383" t="str">
            <v>VAR_fin</v>
          </cell>
          <cell r="D383" t="str">
            <v>URN</v>
          </cell>
          <cell r="I383">
            <v>100.03471665451104</v>
          </cell>
          <cell r="J383">
            <v>100.03472152600678</v>
          </cell>
          <cell r="K383">
            <v>72.598538589666845</v>
          </cell>
        </row>
        <row r="384">
          <cell r="B384" t="str">
            <v>ENUC_BMGL_EXT</v>
          </cell>
          <cell r="C384" t="str">
            <v>VAR_ncap</v>
          </cell>
          <cell r="D384" t="str">
            <v>-</v>
          </cell>
          <cell r="I384"/>
          <cell r="J384"/>
          <cell r="K384"/>
        </row>
        <row r="385">
          <cell r="B385" t="str">
            <v>ENUC_BMGL_EXT</v>
          </cell>
          <cell r="C385" t="str">
            <v>VAR_cap</v>
          </cell>
          <cell r="D385" t="str">
            <v>-</v>
          </cell>
          <cell r="I385">
            <v>1.2329596977893025</v>
          </cell>
          <cell r="J385">
            <v>1.2329597040192739</v>
          </cell>
          <cell r="K385">
            <v>0.89480004060962059</v>
          </cell>
        </row>
        <row r="386">
          <cell r="B386" t="str">
            <v>CEN-EBAT</v>
          </cell>
          <cell r="C386" t="str">
            <v>VAR_fout</v>
          </cell>
          <cell r="D386" t="str">
            <v>ELC13</v>
          </cell>
          <cell r="I386">
            <v>2.4030726740686216E-2</v>
          </cell>
          <cell r="J386">
            <v>2.4045462285921616E-2</v>
          </cell>
          <cell r="K386">
            <v>5.8149442735023482E-2</v>
          </cell>
        </row>
        <row r="387">
          <cell r="B387" t="str">
            <v>CEN-EBAT</v>
          </cell>
          <cell r="C387" t="str">
            <v>VAR_fout</v>
          </cell>
          <cell r="D387" t="str">
            <v>AUX_CEN-EBAT_OUT</v>
          </cell>
          <cell r="I387">
            <v>2.403072674068615E-2</v>
          </cell>
          <cell r="J387">
            <v>2.404546228592155E-2</v>
          </cell>
          <cell r="K387">
            <v>5.8149442735023371E-2</v>
          </cell>
        </row>
        <row r="388">
          <cell r="B388" t="str">
            <v>CEN-EBAT</v>
          </cell>
          <cell r="C388" t="str">
            <v>VAR_fin</v>
          </cell>
          <cell r="D388" t="str">
            <v>AUX_CEN-EBAT_IN</v>
          </cell>
          <cell r="I388">
            <v>2.7716083908769142E-2</v>
          </cell>
          <cell r="J388">
            <v>2.7733003857383778E-2</v>
          </cell>
          <cell r="K388">
            <v>6.7066813626352445E-2</v>
          </cell>
        </row>
        <row r="389">
          <cell r="B389" t="str">
            <v>CEN-EBAT</v>
          </cell>
          <cell r="C389" t="str">
            <v>VAR_fin</v>
          </cell>
          <cell r="D389" t="str">
            <v>ELC13</v>
          </cell>
          <cell r="I389">
            <v>2.7716083908769142E-2</v>
          </cell>
          <cell r="J389">
            <v>2.7733003857383778E-2</v>
          </cell>
          <cell r="K389">
            <v>6.7066813626352445E-2</v>
          </cell>
        </row>
        <row r="390">
          <cell r="B390" t="str">
            <v>CEN-EBAT</v>
          </cell>
          <cell r="C390" t="str">
            <v>VAR_ncap</v>
          </cell>
          <cell r="D390" t="str">
            <v>-</v>
          </cell>
          <cell r="I390">
            <v>3.7256863359910399E-3</v>
          </cell>
          <cell r="J390">
            <v>7.5453300645168097E-3</v>
          </cell>
          <cell r="K390">
            <v>8.9903761226463996E-3</v>
          </cell>
        </row>
        <row r="391">
          <cell r="B391" t="str">
            <v>CEN-EBAT</v>
          </cell>
          <cell r="C391" t="str">
            <v>VAR_cap</v>
          </cell>
          <cell r="D391" t="str">
            <v>-</v>
          </cell>
          <cell r="I391">
            <v>1.1772488460370925E-2</v>
          </cell>
          <cell r="J391">
            <v>1.2164641718407782E-2</v>
          </cell>
          <cell r="K391">
            <v>1.342780846736855E-2</v>
          </cell>
        </row>
        <row r="392">
          <cell r="B392" t="str">
            <v>ESOL-PV</v>
          </cell>
          <cell r="C392" t="str">
            <v>VAR_fout</v>
          </cell>
          <cell r="D392" t="str">
            <v>ELC35</v>
          </cell>
          <cell r="I392">
            <v>0.82964974564378291</v>
          </cell>
          <cell r="J392">
            <v>0.83111470781624452</v>
          </cell>
          <cell r="K392">
            <v>0.49426125991321368</v>
          </cell>
        </row>
        <row r="393">
          <cell r="B393" t="str">
            <v>ESOL-PV</v>
          </cell>
          <cell r="C393" t="str">
            <v>VAR_fin</v>
          </cell>
          <cell r="D393" t="str">
            <v>SOL</v>
          </cell>
          <cell r="I393">
            <v>0.82964974564378291</v>
          </cell>
          <cell r="J393">
            <v>0.83111470781624452</v>
          </cell>
          <cell r="K393">
            <v>0.49426125991321368</v>
          </cell>
        </row>
        <row r="394">
          <cell r="B394" t="str">
            <v>ESOL-PV</v>
          </cell>
          <cell r="C394" t="str">
            <v>VAR_fin</v>
          </cell>
          <cell r="D394" t="str">
            <v>SOLPVC</v>
          </cell>
          <cell r="I394">
            <v>0.82964974564378202</v>
          </cell>
          <cell r="J394">
            <v>0.83111470781624497</v>
          </cell>
          <cell r="K394">
            <v>0.49426125991321401</v>
          </cell>
        </row>
        <row r="395">
          <cell r="B395" t="str">
            <v>ESOL-PV</v>
          </cell>
          <cell r="C395" t="str">
            <v>VAR_ncap</v>
          </cell>
          <cell r="D395" t="str">
            <v>-</v>
          </cell>
          <cell r="I395">
            <v>0.17054022251138301</v>
          </cell>
          <cell r="J395">
            <v>4.2278209594237901E-4</v>
          </cell>
          <cell r="K395">
            <v>2.4204908109592699E-7</v>
          </cell>
        </row>
        <row r="396">
          <cell r="B396" t="str">
            <v>ESOL-PV</v>
          </cell>
          <cell r="C396" t="str">
            <v>VAR_cap</v>
          </cell>
          <cell r="D396" t="str">
            <v>-</v>
          </cell>
          <cell r="I396">
            <v>0.239164553685529</v>
          </cell>
          <cell r="J396">
            <v>0.23958733578147101</v>
          </cell>
          <cell r="K396">
            <v>0.14248242616989801</v>
          </cell>
        </row>
        <row r="397">
          <cell r="B397" t="str">
            <v>RHEM-SHSTG-CHPNGA</v>
          </cell>
          <cell r="C397" t="str">
            <v>VAR_fout</v>
          </cell>
          <cell r="D397" t="str">
            <v>RHEM_LTH_CHPNGA</v>
          </cell>
          <cell r="I397">
            <v>1.0396253372457376E-3</v>
          </cell>
          <cell r="J397">
            <v>5.4908036798592694E-3</v>
          </cell>
          <cell r="K397">
            <v>1.280553895438632E-4</v>
          </cell>
        </row>
        <row r="398">
          <cell r="B398" t="str">
            <v>RHEM-SHSTG-CHPNGA</v>
          </cell>
          <cell r="C398" t="str">
            <v>VAR_fout</v>
          </cell>
          <cell r="D398" t="str">
            <v>AUX_REM-CHPNGA_OUT</v>
          </cell>
          <cell r="I398">
            <v>1.0386706766973047E-3</v>
          </cell>
          <cell r="J398">
            <v>5.4908036798592911E-3</v>
          </cell>
          <cell r="K398">
            <v>1.280553895438633E-4</v>
          </cell>
        </row>
        <row r="399">
          <cell r="B399" t="str">
            <v>RHEM-SHSTG-CHPNGA</v>
          </cell>
          <cell r="C399" t="str">
            <v>VAR_fin</v>
          </cell>
          <cell r="D399" t="str">
            <v>AUX_REM-CHPNGA_IN</v>
          </cell>
          <cell r="I399">
            <v>1.2621947484265554E-3</v>
          </cell>
          <cell r="J399">
            <v>6.46095710833949E-3</v>
          </cell>
          <cell r="K399">
            <v>1.1190868780912916E-4</v>
          </cell>
        </row>
        <row r="400">
          <cell r="B400" t="str">
            <v>RHEM-SHSTG-CHPNGA</v>
          </cell>
          <cell r="C400" t="str">
            <v>VAR_fin</v>
          </cell>
          <cell r="D400" t="str">
            <v>RHEM_LTH_CHPNGA</v>
          </cell>
          <cell r="I400">
            <v>1.2621947484265554E-3</v>
          </cell>
          <cell r="J400">
            <v>6.46095710833949E-3</v>
          </cell>
          <cell r="K400">
            <v>1.1190868780912916E-4</v>
          </cell>
        </row>
        <row r="401">
          <cell r="B401" t="str">
            <v>RHEM-SHSTG-CHPNGA</v>
          </cell>
          <cell r="C401" t="str">
            <v>VAR_ncap</v>
          </cell>
          <cell r="D401" t="str">
            <v>-</v>
          </cell>
          <cell r="I401">
            <v>2.5699537852501E-3</v>
          </cell>
          <cell r="J401">
            <v>6.9149679815157196E-4</v>
          </cell>
          <cell r="K401">
            <v>1.14974056641746E-5</v>
          </cell>
        </row>
        <row r="402">
          <cell r="B402" t="str">
            <v>RHEM-SHSTG-CHPNGA</v>
          </cell>
          <cell r="C402" t="str">
            <v>VAR_cap</v>
          </cell>
          <cell r="D402" t="str">
            <v>-</v>
          </cell>
          <cell r="I402">
            <v>3.2702085579260414E-3</v>
          </cell>
          <cell r="J402">
            <v>3.2660483621372981E-3</v>
          </cell>
          <cell r="K402">
            <v>1.3526692148122701E-3</v>
          </cell>
        </row>
        <row r="403">
          <cell r="B403" t="str">
            <v>RHNS-ESOLPV</v>
          </cell>
          <cell r="C403" t="str">
            <v>VAR_fout</v>
          </cell>
          <cell r="D403" t="str">
            <v>RHNS_SOL_ELC</v>
          </cell>
          <cell r="I403">
            <v>7.1908708245818556</v>
          </cell>
          <cell r="J403">
            <v>7.5576778386781625</v>
          </cell>
          <cell r="K403">
            <v>8.3483784062916158</v>
          </cell>
        </row>
        <row r="404">
          <cell r="B404" t="str">
            <v>RHNS-ESOLPV</v>
          </cell>
          <cell r="C404" t="str">
            <v>VAR_fin</v>
          </cell>
          <cell r="D404" t="str">
            <v>SOL</v>
          </cell>
          <cell r="I404">
            <v>7.1908708245818556</v>
          </cell>
          <cell r="J404">
            <v>7.5576778386781625</v>
          </cell>
          <cell r="K404">
            <v>8.3483784062916158</v>
          </cell>
        </row>
        <row r="405">
          <cell r="B405" t="str">
            <v>RHNS-ESOLPV</v>
          </cell>
          <cell r="C405" t="str">
            <v>VAR_fin</v>
          </cell>
          <cell r="D405" t="str">
            <v>SOLPVC</v>
          </cell>
          <cell r="I405">
            <v>7.19087082458186</v>
          </cell>
          <cell r="J405">
            <v>7.5576778386781598</v>
          </cell>
          <cell r="K405">
            <v>8.3483784062916104</v>
          </cell>
        </row>
        <row r="406">
          <cell r="B406" t="str">
            <v>RHNS-ESOLPV</v>
          </cell>
          <cell r="C406" t="str">
            <v>VAR_ncap</v>
          </cell>
          <cell r="D406" t="str">
            <v>-</v>
          </cell>
          <cell r="I406">
            <v>0.100607992875487</v>
          </cell>
          <cell r="J406">
            <v>0.105740160050271</v>
          </cell>
          <cell r="K406">
            <v>1.87170740503029</v>
          </cell>
        </row>
        <row r="407">
          <cell r="B407" t="str">
            <v>RHNS-ESOLPV</v>
          </cell>
          <cell r="C407" t="str">
            <v>VAR_cap</v>
          </cell>
          <cell r="D407" t="str">
            <v>-</v>
          </cell>
          <cell r="I407">
            <v>2.07291895225918</v>
          </cell>
          <cell r="J407">
            <v>2.17865875141048</v>
          </cell>
          <cell r="K407">
            <v>2.40659443493215</v>
          </cell>
        </row>
        <row r="408">
          <cell r="B408" t="str">
            <v>RHSA-WHSTG-CHP</v>
          </cell>
          <cell r="C408" t="str">
            <v>VAR_fout</v>
          </cell>
          <cell r="D408" t="str">
            <v>AUX_RHSA-CHP_OUT</v>
          </cell>
          <cell r="I408">
            <v>1.4542370100229596E-3</v>
          </cell>
          <cell r="J408">
            <v>1.5296045685554299E-2</v>
          </cell>
          <cell r="K408">
            <v>2.1387873420083595E-2</v>
          </cell>
        </row>
        <row r="409">
          <cell r="B409" t="str">
            <v>RHSA-WHSTG-CHP</v>
          </cell>
          <cell r="C409" t="str">
            <v>VAR_fout</v>
          </cell>
          <cell r="D409" t="str">
            <v>RHSA_LTH</v>
          </cell>
          <cell r="I409">
            <v>1.4555736249218748E-3</v>
          </cell>
          <cell r="J409">
            <v>1.5296045685554246E-2</v>
          </cell>
          <cell r="K409">
            <v>2.1387873420083574E-2</v>
          </cell>
        </row>
        <row r="410">
          <cell r="B410" t="str">
            <v>RHSA-WHSTG-CHP</v>
          </cell>
          <cell r="C410" t="str">
            <v>VAR_fin</v>
          </cell>
          <cell r="D410" t="str">
            <v>RHSA_LTH</v>
          </cell>
          <cell r="I410">
            <v>1.7663744910681642E-3</v>
          </cell>
          <cell r="J410">
            <v>1.7996536008311033E-2</v>
          </cell>
          <cell r="K410">
            <v>2.3765511162836948E-2</v>
          </cell>
        </row>
        <row r="411">
          <cell r="B411" t="str">
            <v>RHSA-WHSTG-CHP</v>
          </cell>
          <cell r="C411" t="str">
            <v>VAR_fin</v>
          </cell>
          <cell r="D411" t="str">
            <v>AUX_RHSA-CHP_IN</v>
          </cell>
          <cell r="I411">
            <v>1.7663744910681642E-3</v>
          </cell>
          <cell r="J411">
            <v>1.7996536008311033E-2</v>
          </cell>
          <cell r="K411">
            <v>2.3765511162836948E-2</v>
          </cell>
        </row>
        <row r="412">
          <cell r="B412" t="str">
            <v>RHSA-WHSTG-CHP</v>
          </cell>
          <cell r="C412" t="str">
            <v>VAR_ncap</v>
          </cell>
          <cell r="D412" t="str">
            <v>-</v>
          </cell>
          <cell r="I412">
            <v>1.8203594169763E-3</v>
          </cell>
          <cell r="J412">
            <v>6.8115045104907802E-3</v>
          </cell>
          <cell r="K412">
            <v>3.5446492428622999E-4</v>
          </cell>
        </row>
        <row r="413">
          <cell r="B413" t="str">
            <v>RHSA-WHSTG-CHP</v>
          </cell>
          <cell r="C413" t="str">
            <v>VAR_cap</v>
          </cell>
          <cell r="D413" t="str">
            <v>-</v>
          </cell>
          <cell r="I413">
            <v>2.5368824560961984E-3</v>
          </cell>
          <cell r="J413">
            <v>8.6333372490771994E-3</v>
          </cell>
          <cell r="K413">
            <v>6.0526063470992082E-3</v>
          </cell>
        </row>
        <row r="414">
          <cell r="B414" t="str">
            <v>G-INTC-SER</v>
          </cell>
          <cell r="C414" t="str">
            <v>VAR_fout</v>
          </cell>
          <cell r="D414" t="str">
            <v>ELC35</v>
          </cell>
          <cell r="I414">
            <v>9.6097992624677323E-4</v>
          </cell>
          <cell r="J414">
            <v>6.0503367284149914E-4</v>
          </cell>
          <cell r="K414">
            <v>4.8327488265949222E-4</v>
          </cell>
        </row>
        <row r="415">
          <cell r="B415" t="str">
            <v>G-INTC-SER</v>
          </cell>
          <cell r="C415" t="str">
            <v>VAR_fout</v>
          </cell>
          <cell r="D415" t="str">
            <v>SCOM_ELC</v>
          </cell>
          <cell r="I415">
            <v>41.256905722073412</v>
          </cell>
          <cell r="J415">
            <v>40.111970392578122</v>
          </cell>
          <cell r="K415">
            <v>35.908165199403669</v>
          </cell>
        </row>
        <row r="416">
          <cell r="B416" t="str">
            <v>G-INTC-SER</v>
          </cell>
          <cell r="C416" t="str">
            <v>VAR_fin</v>
          </cell>
          <cell r="D416" t="str">
            <v>ELC5</v>
          </cell>
          <cell r="I416">
            <v>41.257866701999653</v>
          </cell>
          <cell r="J416">
            <v>40.112571629605391</v>
          </cell>
          <cell r="K416">
            <v>35.908646684390654</v>
          </cell>
        </row>
        <row r="417">
          <cell r="B417" t="str">
            <v>G-INTC-SER</v>
          </cell>
          <cell r="C417" t="str">
            <v>VAR_ncap</v>
          </cell>
          <cell r="D417" t="str">
            <v>-</v>
          </cell>
          <cell r="I417">
            <v>6.9625393981433094E-8</v>
          </cell>
          <cell r="J417">
            <v>9.7342922430149306E-8</v>
          </cell>
          <cell r="K417">
            <v>1.78834957872671E-7</v>
          </cell>
        </row>
        <row r="418">
          <cell r="B418" t="str">
            <v>G-INTC-SER</v>
          </cell>
          <cell r="C418" t="str">
            <v>VAR_cap</v>
          </cell>
          <cell r="D418" t="str">
            <v>-</v>
          </cell>
          <cell r="I418">
            <v>4.3683890403908725</v>
          </cell>
          <cell r="J418">
            <v>4.3683891401187731</v>
          </cell>
          <cell r="K418">
            <v>4.3683893229235782</v>
          </cell>
        </row>
        <row r="419">
          <cell r="B419" t="str">
            <v>CHPWOD</v>
          </cell>
          <cell r="C419" t="str">
            <v>VAR_fout</v>
          </cell>
          <cell r="D419" t="str">
            <v>ELC35</v>
          </cell>
          <cell r="I419">
            <v>0.94226134333189393</v>
          </cell>
          <cell r="J419">
            <v>1.2525233696226075</v>
          </cell>
          <cell r="K419">
            <v>1.922810597105715E-3</v>
          </cell>
        </row>
        <row r="420">
          <cell r="B420" t="str">
            <v>CHPWOD</v>
          </cell>
          <cell r="C420" t="str">
            <v>VAR_fout</v>
          </cell>
          <cell r="D420" t="str">
            <v>LTH</v>
          </cell>
          <cell r="I420">
            <v>2.4641874819129241</v>
          </cell>
          <cell r="J420">
            <v>3.2755799970669877</v>
          </cell>
          <cell r="K420">
            <v>5.0285049227669354E-3</v>
          </cell>
        </row>
        <row r="421">
          <cell r="B421" t="str">
            <v>CHPWOD</v>
          </cell>
          <cell r="C421" t="str">
            <v>VAR_fin</v>
          </cell>
          <cell r="D421" t="str">
            <v>EWOD</v>
          </cell>
          <cell r="I421">
            <v>3.2419380454836797</v>
          </cell>
          <cell r="J421">
            <v>4.0942825082541976</v>
          </cell>
          <cell r="K421">
            <v>6.7647186886865543E-3</v>
          </cell>
        </row>
        <row r="422">
          <cell r="B422" t="str">
            <v>CHPWOD</v>
          </cell>
          <cell r="C422" t="str">
            <v>VAR_ncap</v>
          </cell>
          <cell r="D422" t="str">
            <v>-</v>
          </cell>
          <cell r="I422">
            <v>9.62060593032285E-6</v>
          </cell>
          <cell r="J422">
            <v>1.41838007438092E-2</v>
          </cell>
          <cell r="K422">
            <v>2.0133751468946601E-7</v>
          </cell>
        </row>
        <row r="423">
          <cell r="B423" t="str">
            <v>CHPWOD</v>
          </cell>
          <cell r="C423" t="str">
            <v>VAR_cap</v>
          </cell>
          <cell r="D423" t="str">
            <v>-</v>
          </cell>
          <cell r="I423">
            <v>3.6754673172566296E-2</v>
          </cell>
          <cell r="J423">
            <v>5.0880926579205614E-2</v>
          </cell>
          <cell r="K423">
            <v>2.3817935924179759E-4</v>
          </cell>
        </row>
        <row r="424">
          <cell r="B424" t="str">
            <v>D-EH2R</v>
          </cell>
          <cell r="C424" t="str">
            <v>VAR_fout</v>
          </cell>
          <cell r="D424" t="str">
            <v>EH2</v>
          </cell>
          <cell r="I424"/>
          <cell r="J424">
            <v>4.519075752410351E-3</v>
          </cell>
          <cell r="K424">
            <v>5.5689205734028224E-3</v>
          </cell>
        </row>
        <row r="425">
          <cell r="B425" t="str">
            <v>D-EH2R</v>
          </cell>
          <cell r="C425" t="str">
            <v>VAR_fin</v>
          </cell>
          <cell r="D425" t="str">
            <v>H2</v>
          </cell>
          <cell r="I425"/>
          <cell r="J425">
            <v>4.519075752410351E-3</v>
          </cell>
          <cell r="K425">
            <v>5.5689205734028224E-3</v>
          </cell>
        </row>
        <row r="426">
          <cell r="B426" t="str">
            <v>D-EH2R</v>
          </cell>
          <cell r="C426" t="str">
            <v>VAR_ncap</v>
          </cell>
          <cell r="D426" t="str">
            <v>-</v>
          </cell>
          <cell r="I426">
            <v>7.2032292181080295E-7</v>
          </cell>
          <cell r="J426">
            <v>5.2624082744133895E-4</v>
          </cell>
          <cell r="K426">
            <v>1.01875412787072E-4</v>
          </cell>
        </row>
        <row r="427">
          <cell r="B427" t="str">
            <v>D-EH2R</v>
          </cell>
          <cell r="C427" t="str">
            <v>VAR_cap</v>
          </cell>
          <cell r="D427" t="str">
            <v>-</v>
          </cell>
          <cell r="I427">
            <v>7.2032292181080295E-7</v>
          </cell>
          <cell r="J427">
            <v>5.2636841242261899E-4</v>
          </cell>
          <cell r="K427">
            <v>2.8212407709005398E-4</v>
          </cell>
        </row>
        <row r="428">
          <cell r="B428" t="str">
            <v>G-INTC1</v>
          </cell>
          <cell r="C428" t="str">
            <v>VAR_fout</v>
          </cell>
          <cell r="D428" t="str">
            <v>ELC13</v>
          </cell>
          <cell r="I428">
            <v>144.22658002515598</v>
          </cell>
          <cell r="J428">
            <v>149.07628266301271</v>
          </cell>
          <cell r="K428">
            <v>166.11850102178263</v>
          </cell>
        </row>
        <row r="429">
          <cell r="B429" t="str">
            <v>G-INTC1</v>
          </cell>
          <cell r="C429" t="str">
            <v>VAR_fin</v>
          </cell>
          <cell r="D429" t="str">
            <v>ELC</v>
          </cell>
          <cell r="I429">
            <v>146.58305297558738</v>
          </cell>
          <cell r="J429">
            <v>150.96971710426311</v>
          </cell>
          <cell r="K429">
            <v>167.03273747749964</v>
          </cell>
        </row>
        <row r="430">
          <cell r="B430" t="str">
            <v>G-INTC1</v>
          </cell>
          <cell r="C430" t="str">
            <v>VAR_ncap</v>
          </cell>
          <cell r="D430" t="str">
            <v>-</v>
          </cell>
          <cell r="I430">
            <v>1.5904678858148601E-7</v>
          </cell>
          <cell r="J430">
            <v>2.5658100776047098E-7</v>
          </cell>
          <cell r="K430">
            <v>8.7129590675128805E-7</v>
          </cell>
        </row>
        <row r="431">
          <cell r="B431" t="str">
            <v>G-INTC1</v>
          </cell>
          <cell r="C431" t="str">
            <v>VAR_cap</v>
          </cell>
          <cell r="D431" t="str">
            <v>-</v>
          </cell>
          <cell r="I431">
            <v>15.305609448215449</v>
          </cell>
          <cell r="J431">
            <v>15.305609523501213</v>
          </cell>
          <cell r="K431">
            <v>15.305610028239363</v>
          </cell>
        </row>
        <row r="432">
          <cell r="B432" t="str">
            <v>EHYD-RUNS00</v>
          </cell>
          <cell r="C432" t="str">
            <v>VAR_fout</v>
          </cell>
          <cell r="D432" t="str">
            <v>ELC35</v>
          </cell>
          <cell r="I432">
            <v>12.216832061987571</v>
          </cell>
          <cell r="J432">
            <v>12.2193395729903</v>
          </cell>
          <cell r="K432">
            <v>12.236511086084745</v>
          </cell>
        </row>
        <row r="433">
          <cell r="B433" t="str">
            <v>EHYD-RUNS00</v>
          </cell>
          <cell r="C433" t="str">
            <v>VAR_fin</v>
          </cell>
          <cell r="D433" t="str">
            <v>HYDR</v>
          </cell>
          <cell r="I433">
            <v>12.216832061987571</v>
          </cell>
          <cell r="J433">
            <v>12.2193395729903</v>
          </cell>
          <cell r="K433">
            <v>12.236511086084745</v>
          </cell>
        </row>
        <row r="434">
          <cell r="B434" t="str">
            <v>EHYD-RUNS00</v>
          </cell>
          <cell r="C434" t="str">
            <v>VAR_cap</v>
          </cell>
          <cell r="D434" t="str">
            <v>-</v>
          </cell>
          <cell r="I434">
            <v>0.89707999999999899</v>
          </cell>
          <cell r="J434">
            <v>0.89707999999999899</v>
          </cell>
          <cell r="K434">
            <v>0.89707999999999899</v>
          </cell>
        </row>
        <row r="435">
          <cell r="B435" t="str">
            <v>RHNS-SHSTG-CHPWOD</v>
          </cell>
          <cell r="C435" t="str">
            <v>VAR_fout</v>
          </cell>
          <cell r="D435" t="str">
            <v>AUX_RNS-CHPWOD_OUT</v>
          </cell>
          <cell r="I435">
            <v>5.875195139915506E-4</v>
          </cell>
          <cell r="J435">
            <v>8.4247558328539489E-4</v>
          </cell>
          <cell r="K435">
            <v>2.0905627091665833E-3</v>
          </cell>
        </row>
        <row r="436">
          <cell r="B436" t="str">
            <v>RHNS-SHSTG-CHPWOD</v>
          </cell>
          <cell r="C436" t="str">
            <v>VAR_fout</v>
          </cell>
          <cell r="D436" t="str">
            <v>RHNS_LTH_CHPWOD</v>
          </cell>
          <cell r="I436">
            <v>5.8805951354485068E-4</v>
          </cell>
          <cell r="J436">
            <v>8.4247558328539229E-4</v>
          </cell>
          <cell r="K436">
            <v>2.0905627091665807E-3</v>
          </cell>
        </row>
        <row r="437">
          <cell r="B437" t="str">
            <v>RHNS-SHSTG-CHPWOD</v>
          </cell>
          <cell r="C437" t="str">
            <v>VAR_fin</v>
          </cell>
          <cell r="D437" t="str">
            <v>AUX_RNS-CHPWOD_IN</v>
          </cell>
          <cell r="I437">
            <v>7.1484223485711773E-4</v>
          </cell>
          <cell r="J437">
            <v>9.9231752956985535E-4</v>
          </cell>
          <cell r="K437">
            <v>2.3240557065399808E-3</v>
          </cell>
        </row>
        <row r="438">
          <cell r="B438" t="str">
            <v>RHNS-SHSTG-CHPWOD</v>
          </cell>
          <cell r="C438" t="str">
            <v>VAR_fin</v>
          </cell>
          <cell r="D438" t="str">
            <v>RHNS_LTH_CHPWOD</v>
          </cell>
          <cell r="I438">
            <v>7.1484223485711773E-4</v>
          </cell>
          <cell r="J438">
            <v>9.9231752956985535E-4</v>
          </cell>
          <cell r="K438">
            <v>2.3240557065399808E-3</v>
          </cell>
        </row>
        <row r="439">
          <cell r="B439" t="str">
            <v>RHNS-SHSTG-CHPWOD</v>
          </cell>
          <cell r="C439" t="str">
            <v>VAR_ncap</v>
          </cell>
          <cell r="D439" t="str">
            <v>-</v>
          </cell>
          <cell r="I439">
            <v>1.19273331690624E-3</v>
          </cell>
          <cell r="J439">
            <v>1.05681542616011E-4</v>
          </cell>
          <cell r="K439">
            <v>2.0894068243157399E-4</v>
          </cell>
        </row>
        <row r="440">
          <cell r="B440" t="str">
            <v>RHNS-SHSTG-CHPWOD</v>
          </cell>
          <cell r="C440" t="str">
            <v>VAR_cap</v>
          </cell>
          <cell r="D440" t="str">
            <v>-</v>
          </cell>
          <cell r="I440">
            <v>1.5028754839991282E-3</v>
          </cell>
          <cell r="J440">
            <v>1.3097383825086439E-3</v>
          </cell>
          <cell r="K440">
            <v>7.8257806710513051E-4</v>
          </cell>
        </row>
        <row r="441">
          <cell r="B441" t="str">
            <v>HPLOIL</v>
          </cell>
          <cell r="C441" t="str">
            <v>VAR_fout</v>
          </cell>
          <cell r="D441" t="str">
            <v>LTH</v>
          </cell>
          <cell r="I441">
            <v>0.16952755798380129</v>
          </cell>
          <cell r="J441">
            <v>1.3701843477911997E-4</v>
          </cell>
          <cell r="K441">
            <v>2.1984625640259272E-6</v>
          </cell>
        </row>
        <row r="442">
          <cell r="B442" t="str">
            <v>HPLOIL</v>
          </cell>
          <cell r="C442" t="str">
            <v>VAR_fout</v>
          </cell>
          <cell r="D442" t="str">
            <v>CO2_E</v>
          </cell>
          <cell r="I442">
            <v>14.6223977400003</v>
          </cell>
          <cell r="J442">
            <v>1.18183620107595E-2</v>
          </cell>
          <cell r="K442">
            <v>1.8962577182147399E-4</v>
          </cell>
        </row>
        <row r="443">
          <cell r="B443" t="str">
            <v>HPLOIL</v>
          </cell>
          <cell r="C443" t="str">
            <v>VAR_fin</v>
          </cell>
          <cell r="D443" t="str">
            <v>ELFO</v>
          </cell>
          <cell r="I443">
            <v>0.19840431126187638</v>
          </cell>
          <cell r="J443">
            <v>1.6035769349741501E-4</v>
          </cell>
          <cell r="K443">
            <v>2.5729412730186386E-6</v>
          </cell>
        </row>
        <row r="444">
          <cell r="B444" t="str">
            <v>HPLOIL</v>
          </cell>
          <cell r="C444" t="str">
            <v>VAR_ncap</v>
          </cell>
          <cell r="D444" t="str">
            <v>-</v>
          </cell>
          <cell r="I444">
            <v>8.7259748824221901E-3</v>
          </cell>
          <cell r="J444">
            <v>5.0598486921348903E-6</v>
          </cell>
          <cell r="K444">
            <v>3.8287381021397297E-6</v>
          </cell>
        </row>
        <row r="445">
          <cell r="B445" t="str">
            <v>HPLOIL</v>
          </cell>
          <cell r="C445" t="str">
            <v>VAR_cap</v>
          </cell>
          <cell r="D445" t="str">
            <v>-</v>
          </cell>
          <cell r="I445">
            <v>2.1510854233600277E-2</v>
          </cell>
          <cell r="J445">
            <v>1.3772154389464983E-3</v>
          </cell>
          <cell r="K445">
            <v>7.3548290331088007E-4</v>
          </cell>
        </row>
        <row r="446">
          <cell r="B446" t="str">
            <v>V2G</v>
          </cell>
          <cell r="C446" t="str">
            <v>VAR_fout</v>
          </cell>
          <cell r="D446" t="str">
            <v>ELC35</v>
          </cell>
          <cell r="I446">
            <v>8.899217784286545E-2</v>
          </cell>
          <cell r="J446">
            <v>8.8553326385706496E-2</v>
          </cell>
          <cell r="K446">
            <v>7.8935254891164507E-3</v>
          </cell>
        </row>
        <row r="447">
          <cell r="B447" t="str">
            <v>V2G</v>
          </cell>
          <cell r="C447" t="str">
            <v>VAR_fin</v>
          </cell>
          <cell r="D447" t="str">
            <v>T-ELC-Bus_c_BatSTGout_S1</v>
          </cell>
          <cell r="I447">
            <v>2.7840499080194429E-3</v>
          </cell>
          <cell r="J447">
            <v>1.9414403552995491E-3</v>
          </cell>
          <cell r="K447">
            <v>1.3923798030590506E-4</v>
          </cell>
        </row>
        <row r="448">
          <cell r="B448" t="str">
            <v>V2G</v>
          </cell>
          <cell r="C448" t="str">
            <v>VAR_fin</v>
          </cell>
          <cell r="D448" t="str">
            <v>T-ELC-Bus_c_BatSTGout_S2</v>
          </cell>
          <cell r="I448">
            <v>2.7621740588714759E-3</v>
          </cell>
          <cell r="J448">
            <v>2.190042989470467E-3</v>
          </cell>
          <cell r="K448">
            <v>1.3769456317793766E-4</v>
          </cell>
        </row>
        <row r="449">
          <cell r="B449" t="str">
            <v>V2G</v>
          </cell>
          <cell r="C449" t="str">
            <v>VAR_fin</v>
          </cell>
          <cell r="D449" t="str">
            <v>T-ELC-Bus_c_BatSTGout_S3</v>
          </cell>
          <cell r="I449">
            <v>1.367306794739048E-3</v>
          </cell>
          <cell r="J449">
            <v>1.2776702982431785E-3</v>
          </cell>
          <cell r="K449">
            <v>1.2016572115780365E-4</v>
          </cell>
        </row>
        <row r="450">
          <cell r="B450" t="str">
            <v>V2G</v>
          </cell>
          <cell r="C450" t="str">
            <v>VAR_fin</v>
          </cell>
          <cell r="D450" t="str">
            <v>T-ELC-Bus_c_BatSTGout_S4</v>
          </cell>
          <cell r="I450">
            <v>1.932349635926061E-5</v>
          </cell>
          <cell r="J450">
            <v>2.1944175076409666E-4</v>
          </cell>
          <cell r="K450">
            <v>1.5396564458044433E-4</v>
          </cell>
        </row>
        <row r="451">
          <cell r="B451" t="str">
            <v>V2G</v>
          </cell>
          <cell r="C451" t="str">
            <v>VAR_fin</v>
          </cell>
          <cell r="D451" t="str">
            <v>T-ELC-car-BatSTGOut_S1</v>
          </cell>
          <cell r="I451">
            <v>1.4660595414141282E-2</v>
          </cell>
          <cell r="J451">
            <v>1.6075904897246269E-2</v>
          </cell>
          <cell r="K451">
            <v>2.2162984692197731E-4</v>
          </cell>
        </row>
        <row r="452">
          <cell r="B452" t="str">
            <v>V2G</v>
          </cell>
          <cell r="C452" t="str">
            <v>VAR_fin</v>
          </cell>
          <cell r="D452" t="str">
            <v>T-ELC-car-BatSTGOut_S2</v>
          </cell>
          <cell r="I452">
            <v>9.3771163700429715E-3</v>
          </cell>
          <cell r="J452">
            <v>1.0579231939584904E-2</v>
          </cell>
          <cell r="K452">
            <v>1.7554504024001362E-4</v>
          </cell>
        </row>
        <row r="453">
          <cell r="B453" t="str">
            <v>V2G</v>
          </cell>
          <cell r="C453" t="str">
            <v>VAR_fin</v>
          </cell>
          <cell r="D453" t="str">
            <v>T-ELC-car-BatSTGOut_S3</v>
          </cell>
          <cell r="I453">
            <v>1.0853502846260731E-2</v>
          </cell>
          <cell r="J453">
            <v>1.0725846210035412E-2</v>
          </cell>
          <cell r="K453">
            <v>1.7691362965741671E-4</v>
          </cell>
        </row>
        <row r="454">
          <cell r="B454" t="str">
            <v>V2G</v>
          </cell>
          <cell r="C454" t="str">
            <v>VAR_fin</v>
          </cell>
          <cell r="D454" t="str">
            <v>T-ELC-car-BatSTGOut_S4</v>
          </cell>
          <cell r="I454">
            <v>9.2741329769608465E-3</v>
          </cell>
          <cell r="J454">
            <v>1.0444075504118099E-2</v>
          </cell>
          <cell r="K454">
            <v>1.7059490484122949E-4</v>
          </cell>
        </row>
        <row r="455">
          <cell r="B455" t="str">
            <v>V2G</v>
          </cell>
          <cell r="C455" t="str">
            <v>VAR_fin</v>
          </cell>
          <cell r="D455" t="str">
            <v>T-ELC-car-PlgSTGOut_S1</v>
          </cell>
          <cell r="I455">
            <v>9.2932145516113848E-4</v>
          </cell>
          <cell r="J455">
            <v>7.3404962624999529E-4</v>
          </cell>
          <cell r="K455">
            <v>1.8859985875075718E-4</v>
          </cell>
        </row>
        <row r="456">
          <cell r="B456" t="str">
            <v>V2G</v>
          </cell>
          <cell r="C456" t="str">
            <v>VAR_fin</v>
          </cell>
          <cell r="D456" t="str">
            <v>T-ELC-car-PlgSTGOut_S2</v>
          </cell>
          <cell r="I456">
            <v>2.2355666013062006E-4</v>
          </cell>
          <cell r="J456">
            <v>3.0057327474385803E-4</v>
          </cell>
          <cell r="K456">
            <v>7.8408316698068675E-4</v>
          </cell>
        </row>
        <row r="457">
          <cell r="B457" t="str">
            <v>V2G</v>
          </cell>
          <cell r="C457" t="str">
            <v>VAR_fin</v>
          </cell>
          <cell r="D457" t="str">
            <v>T-ELC-car-PlgSTGOut_S3</v>
          </cell>
          <cell r="I457">
            <v>1.2213327192737405E-2</v>
          </cell>
          <cell r="J457">
            <v>1.1960769814105911E-2</v>
          </cell>
          <cell r="K457">
            <v>1.7284650841119218E-4</v>
          </cell>
        </row>
        <row r="458">
          <cell r="B458" t="str">
            <v>V2G</v>
          </cell>
          <cell r="C458" t="str">
            <v>VAR_fin</v>
          </cell>
          <cell r="D458" t="str">
            <v>T-ELC-TWSTGout_S1</v>
          </cell>
          <cell r="I458">
            <v>2.3634828649662094E-3</v>
          </cell>
          <cell r="J458">
            <v>1.7433352811508129E-3</v>
          </cell>
          <cell r="K458">
            <v>2.5100606243319247E-4</v>
          </cell>
        </row>
        <row r="459">
          <cell r="B459" t="str">
            <v>V2G</v>
          </cell>
          <cell r="C459" t="str">
            <v>VAR_fin</v>
          </cell>
          <cell r="D459" t="str">
            <v>T-ELC-car-PlgSTGOut_S4</v>
          </cell>
          <cell r="I459">
            <v>1.2796255293272573E-3</v>
          </cell>
          <cell r="J459">
            <v>4.1939616978194328E-3</v>
          </cell>
          <cell r="K459">
            <v>3.837585459084667E-4</v>
          </cell>
        </row>
        <row r="460">
          <cell r="B460" t="str">
            <v>V2G</v>
          </cell>
          <cell r="C460" t="str">
            <v>VAR_fin</v>
          </cell>
          <cell r="D460" t="str">
            <v>T-ELC-TWSTGout_S2</v>
          </cell>
          <cell r="I460">
            <v>2.7370189131280245E-3</v>
          </cell>
          <cell r="J460">
            <v>2.2814613930159985E-3</v>
          </cell>
          <cell r="K460">
            <v>8.2367755760285721E-4</v>
          </cell>
        </row>
        <row r="461">
          <cell r="B461" t="str">
            <v>V2G</v>
          </cell>
          <cell r="C461" t="str">
            <v>VAR_fin</v>
          </cell>
          <cell r="D461" t="str">
            <v>T-ELC-TWSTGout_S3</v>
          </cell>
          <cell r="I461">
            <v>3.5315881550244169E-3</v>
          </cell>
          <cell r="J461">
            <v>3.1173446632016774E-3</v>
          </cell>
          <cell r="K461">
            <v>1.2253241256117518E-3</v>
          </cell>
        </row>
        <row r="462">
          <cell r="B462" t="str">
            <v>V2G</v>
          </cell>
          <cell r="C462" t="str">
            <v>VAR_fin</v>
          </cell>
          <cell r="D462" t="str">
            <v>T-ELC-TWSTGout_S4</v>
          </cell>
          <cell r="I462">
            <v>3.3829858828369136E-3</v>
          </cell>
          <cell r="J462">
            <v>3.3620070815975167E-3</v>
          </cell>
          <cell r="K462">
            <v>1.9199643629853279E-3</v>
          </cell>
        </row>
        <row r="463">
          <cell r="B463" t="str">
            <v>V2G</v>
          </cell>
          <cell r="C463" t="str">
            <v>VAR_fin</v>
          </cell>
          <cell r="D463" t="str">
            <v>T-ELC-Bus_u_BatSTGout_S1</v>
          </cell>
          <cell r="I463">
            <v>1.5584711465619207E-4</v>
          </cell>
          <cell r="J463">
            <v>1.2227957405048246E-4</v>
          </cell>
          <cell r="K463">
            <v>7.9906129299809483E-5</v>
          </cell>
        </row>
        <row r="464">
          <cell r="B464" t="str">
            <v>V2G</v>
          </cell>
          <cell r="C464" t="str">
            <v>VAR_fin</v>
          </cell>
          <cell r="D464" t="str">
            <v>T-ELC-Bus_u_BatSTGout_S2</v>
          </cell>
          <cell r="I464">
            <v>1.4766053476365147E-4</v>
          </cell>
          <cell r="J464">
            <v>1.1351211751403162E-4</v>
          </cell>
          <cell r="K464">
            <v>7.6163520940986768E-5</v>
          </cell>
        </row>
        <row r="465">
          <cell r="B465" t="str">
            <v>V2G</v>
          </cell>
          <cell r="C465" t="str">
            <v>VAR_fin</v>
          </cell>
          <cell r="D465" t="str">
            <v>T-ELC-Bus_u_BatSTGout_S3</v>
          </cell>
          <cell r="I465">
            <v>6.4743544490740337E-5</v>
          </cell>
          <cell r="J465">
            <v>5.7069184982444156E-5</v>
          </cell>
          <cell r="K465">
            <v>4.3398039257639328E-5</v>
          </cell>
        </row>
        <row r="466">
          <cell r="B466" t="str">
            <v>V2G</v>
          </cell>
          <cell r="C466" t="str">
            <v>VAR_fin</v>
          </cell>
          <cell r="D466" t="str">
            <v>T-ELC-Bus_u_BatSTGout_S4</v>
          </cell>
          <cell r="I466">
            <v>6.1833994736353723E-3</v>
          </cell>
          <cell r="J466">
            <v>1.7335042142303179E-4</v>
          </cell>
          <cell r="K466">
            <v>9.3914700217680261E-5</v>
          </cell>
        </row>
        <row r="467">
          <cell r="B467" t="str">
            <v>V2G</v>
          </cell>
          <cell r="C467" t="str">
            <v>VAR_fin</v>
          </cell>
          <cell r="D467" t="str">
            <v>T-ELC-LGV_BatSTGout</v>
          </cell>
          <cell r="I467">
            <v>3.7501093611255987E-4</v>
          </cell>
          <cell r="J467">
            <v>2.731527809742438E-4</v>
          </cell>
          <cell r="K467">
            <v>1.4637010724326776E-4</v>
          </cell>
        </row>
        <row r="468">
          <cell r="B468" t="str">
            <v>V2G</v>
          </cell>
          <cell r="C468" t="str">
            <v>VAR_fin</v>
          </cell>
          <cell r="D468" t="str">
            <v>T-ELC-HGV_BatSTGout</v>
          </cell>
          <cell r="I468">
            <v>4.3478142047055687E-3</v>
          </cell>
          <cell r="J468">
            <v>6.7051312392646858E-3</v>
          </cell>
          <cell r="K468">
            <v>4.3844217181317712E-4</v>
          </cell>
        </row>
        <row r="469">
          <cell r="B469" t="str">
            <v>V2G</v>
          </cell>
          <cell r="C469" t="str">
            <v>VAR_ncap</v>
          </cell>
          <cell r="D469" t="str">
            <v>-</v>
          </cell>
          <cell r="I469">
            <v>0.32873034725216999</v>
          </cell>
          <cell r="J469">
            <v>1.95864855570285E-4</v>
          </cell>
          <cell r="K469">
            <v>5.9916560646540403E-6</v>
          </cell>
        </row>
        <row r="470">
          <cell r="B470" t="str">
            <v>V2G</v>
          </cell>
          <cell r="C470" t="str">
            <v>VAR_cap</v>
          </cell>
          <cell r="D470" t="str">
            <v>-</v>
          </cell>
          <cell r="I470">
            <v>0.33212255610359703</v>
          </cell>
          <cell r="J470">
            <v>0.3312395740456</v>
          </cell>
          <cell r="K470">
            <v>1.0525036649807001E-2</v>
          </cell>
        </row>
        <row r="471">
          <cell r="B471" t="str">
            <v>D-EBIO</v>
          </cell>
          <cell r="C471" t="str">
            <v>VAR_fout</v>
          </cell>
          <cell r="D471" t="str">
            <v>EBIO</v>
          </cell>
          <cell r="I471">
            <v>1.1839527822887959</v>
          </cell>
          <cell r="J471">
            <v>1.1839542283685418</v>
          </cell>
          <cell r="K471">
            <v>1.1839449157400155</v>
          </cell>
        </row>
        <row r="472">
          <cell r="B472" t="str">
            <v>D-EBIO</v>
          </cell>
          <cell r="C472" t="str">
            <v>VAR_fin</v>
          </cell>
          <cell r="D472" t="str">
            <v>BIO</v>
          </cell>
          <cell r="I472">
            <v>1.1839527822887959</v>
          </cell>
          <cell r="J472">
            <v>1.1839542283685418</v>
          </cell>
          <cell r="K472">
            <v>1.1839449157400155</v>
          </cell>
        </row>
        <row r="473">
          <cell r="B473" t="str">
            <v>G-INTC3</v>
          </cell>
          <cell r="C473" t="str">
            <v>VAR_fout</v>
          </cell>
          <cell r="D473" t="str">
            <v>ELC35</v>
          </cell>
          <cell r="I473">
            <v>91.003724181266364</v>
          </cell>
          <cell r="J473">
            <v>142.25276926340081</v>
          </cell>
          <cell r="K473">
            <v>157.75688505221831</v>
          </cell>
        </row>
        <row r="474">
          <cell r="B474" t="str">
            <v>G-INTC3</v>
          </cell>
          <cell r="C474" t="str">
            <v>VAR_fout</v>
          </cell>
          <cell r="D474" t="str">
            <v>ELC3</v>
          </cell>
          <cell r="I474">
            <v>98.540624940456709</v>
          </cell>
          <cell r="J474">
            <v>51.979022731048353</v>
          </cell>
          <cell r="K474">
            <v>56.032264506081709</v>
          </cell>
        </row>
        <row r="475">
          <cell r="B475" t="str">
            <v>G-INTC3</v>
          </cell>
          <cell r="C475" t="str">
            <v>VAR_fout</v>
          </cell>
          <cell r="D475" t="str">
            <v>ELC</v>
          </cell>
          <cell r="I475">
            <v>2.2990518451205142E-3</v>
          </cell>
          <cell r="J475">
            <v>1.1462180817831315E-3</v>
          </cell>
          <cell r="K475">
            <v>1.302594644767415E-3</v>
          </cell>
        </row>
        <row r="476">
          <cell r="B476" t="str">
            <v>G-INTC3</v>
          </cell>
          <cell r="C476" t="str">
            <v>VAR_fin</v>
          </cell>
          <cell r="D476" t="str">
            <v>ELC13</v>
          </cell>
          <cell r="I476">
            <v>195.68393951122351</v>
          </cell>
          <cell r="J476">
            <v>199.44155975939097</v>
          </cell>
          <cell r="K476">
            <v>217.18320731117012</v>
          </cell>
        </row>
        <row r="477">
          <cell r="B477" t="str">
            <v>G-INTC3</v>
          </cell>
          <cell r="C477" t="str">
            <v>VAR_ncap</v>
          </cell>
          <cell r="D477" t="str">
            <v>-</v>
          </cell>
          <cell r="I477">
            <v>2.1238804923141999E-7</v>
          </cell>
          <cell r="J477">
            <v>3.4230032645338302E-7</v>
          </cell>
          <cell r="K477">
            <v>1.1628778917877699E-6</v>
          </cell>
        </row>
        <row r="478">
          <cell r="B478" t="str">
            <v>G-INTC3</v>
          </cell>
          <cell r="C478" t="str">
            <v>VAR_cap</v>
          </cell>
          <cell r="D478" t="str">
            <v>-</v>
          </cell>
          <cell r="I478">
            <v>13.914190519490223</v>
          </cell>
          <cell r="J478">
            <v>13.914190620486018</v>
          </cell>
          <cell r="K478">
            <v>13.914191294155939</v>
          </cell>
        </row>
        <row r="479">
          <cell r="B479" t="str">
            <v>HPLBIO</v>
          </cell>
          <cell r="C479" t="str">
            <v>VAR_fout</v>
          </cell>
          <cell r="D479" t="str">
            <v>LTH</v>
          </cell>
          <cell r="I479">
            <v>0.90177641526792618</v>
          </cell>
          <cell r="J479">
            <v>0.90177751669750073</v>
          </cell>
          <cell r="K479">
            <v>0.90177042358627579</v>
          </cell>
        </row>
        <row r="480">
          <cell r="B480" t="str">
            <v>HPLBIO</v>
          </cell>
          <cell r="C480" t="str">
            <v>VAR_fin</v>
          </cell>
          <cell r="D480" t="str">
            <v>EBIO</v>
          </cell>
          <cell r="I480">
            <v>1.1839527822887959</v>
          </cell>
          <cell r="J480">
            <v>1.1839542283685418</v>
          </cell>
          <cell r="K480">
            <v>1.1839449157400155</v>
          </cell>
        </row>
        <row r="481">
          <cell r="B481" t="str">
            <v>HPLBIO</v>
          </cell>
          <cell r="C481" t="str">
            <v>VAR_ncap</v>
          </cell>
          <cell r="D481" t="str">
            <v>-</v>
          </cell>
          <cell r="I481">
            <v>5.1449677573018597E-2</v>
          </cell>
          <cell r="J481">
            <v>2.2753992405810301E-5</v>
          </cell>
          <cell r="K481">
            <v>8.6760039897537403E-2</v>
          </cell>
        </row>
        <row r="482">
          <cell r="B482" t="str">
            <v>HPLBIO</v>
          </cell>
          <cell r="C482" t="str">
            <v>VAR_cap</v>
          </cell>
          <cell r="D482" t="str">
            <v>-</v>
          </cell>
          <cell r="I482">
            <v>0.11438305393334869</v>
          </cell>
          <cell r="J482">
            <v>0.11438840614561017</v>
          </cell>
          <cell r="K482">
            <v>0.14413490127953665</v>
          </cell>
        </row>
        <row r="483">
          <cell r="B483" t="str">
            <v>ENUC_LRG_BMGL</v>
          </cell>
          <cell r="C483" t="str">
            <v>VAR_fout</v>
          </cell>
          <cell r="D483" t="str">
            <v>LTH</v>
          </cell>
          <cell r="K483">
            <v>2.6679220679404443</v>
          </cell>
        </row>
        <row r="484">
          <cell r="B484" t="str">
            <v>ENUC_LRG_BMGL</v>
          </cell>
          <cell r="C484" t="str">
            <v>VAR_fout</v>
          </cell>
          <cell r="D484" t="str">
            <v>ELC</v>
          </cell>
          <cell r="K484">
            <v>29.038210808894032</v>
          </cell>
        </row>
        <row r="485">
          <cell r="B485" t="str">
            <v>ENUC_LRG_BMGL</v>
          </cell>
          <cell r="C485" t="str">
            <v>VAR_fin</v>
          </cell>
          <cell r="D485" t="str">
            <v>URN</v>
          </cell>
          <cell r="K485">
            <v>92.885875529849429</v>
          </cell>
        </row>
        <row r="486">
          <cell r="B486" t="str">
            <v>ENUC_LRG_BMGL</v>
          </cell>
          <cell r="C486" t="str">
            <v>VAR_ncap</v>
          </cell>
          <cell r="D486" t="str">
            <v>-</v>
          </cell>
          <cell r="J486">
            <v>0.763329646460712</v>
          </cell>
          <cell r="K486">
            <v>3.4366747875030499</v>
          </cell>
        </row>
        <row r="487">
          <cell r="B487" t="str">
            <v>ENUC_LRG_BMGL</v>
          </cell>
          <cell r="C487" t="str">
            <v>VAR_cap</v>
          </cell>
          <cell r="D487" t="str">
            <v>-</v>
          </cell>
          <cell r="K487">
            <v>1.19999815232985</v>
          </cell>
        </row>
        <row r="488">
          <cell r="B488" t="str">
            <v>G-INTC5</v>
          </cell>
          <cell r="C488" t="str">
            <v>VAR_fout</v>
          </cell>
          <cell r="D488" t="str">
            <v>ELC5</v>
          </cell>
          <cell r="I488">
            <v>99.247723822063492</v>
          </cell>
          <cell r="J488">
            <v>151.98818592481157</v>
          </cell>
          <cell r="K488">
            <v>154.22393233944524</v>
          </cell>
        </row>
        <row r="489">
          <cell r="B489" t="str">
            <v>G-INTC5</v>
          </cell>
          <cell r="C489" t="str">
            <v>VAR_fout</v>
          </cell>
          <cell r="D489" t="str">
            <v>ELC13</v>
          </cell>
          <cell r="I489">
            <v>2.072826497618886E-3</v>
          </cell>
          <cell r="J489">
            <v>9.2941557814103153E-4</v>
          </cell>
          <cell r="K489">
            <v>1.3083588998270229E-3</v>
          </cell>
        </row>
        <row r="490">
          <cell r="B490" t="str">
            <v>G-INTC5</v>
          </cell>
          <cell r="C490" t="str">
            <v>VAR_fin</v>
          </cell>
          <cell r="D490" t="str">
            <v>ELC35</v>
          </cell>
          <cell r="I490">
            <v>102.9728956793374</v>
          </cell>
          <cell r="J490">
            <v>157.12620320153547</v>
          </cell>
          <cell r="K490">
            <v>158.30473115983804</v>
          </cell>
        </row>
        <row r="491">
          <cell r="B491" t="str">
            <v>G-INTC5</v>
          </cell>
          <cell r="C491" t="str">
            <v>VAR_ncap</v>
          </cell>
          <cell r="D491" t="str">
            <v>-</v>
          </cell>
          <cell r="I491">
            <v>9.987644228768271E-7</v>
          </cell>
          <cell r="J491">
            <v>1.6148736112485401E-6</v>
          </cell>
          <cell r="K491">
            <v>5.2043985508969398E-6</v>
          </cell>
        </row>
        <row r="492">
          <cell r="B492" t="str">
            <v>G-INTC5</v>
          </cell>
          <cell r="C492" t="str">
            <v>VAR_cap</v>
          </cell>
          <cell r="D492" t="str">
            <v>-</v>
          </cell>
          <cell r="I492">
            <v>12.649265407476813</v>
          </cell>
          <cell r="J492">
            <v>12.64926587432409</v>
          </cell>
          <cell r="K492">
            <v>12.649268992053626</v>
          </cell>
        </row>
        <row r="493">
          <cell r="B493" t="str">
            <v>D-SLFO</v>
          </cell>
          <cell r="C493" t="str">
            <v>VAR_fout</v>
          </cell>
          <cell r="D493" t="str">
            <v>CO2</v>
          </cell>
          <cell r="I493">
            <v>670.43561785384804</v>
          </cell>
          <cell r="J493">
            <v>271.08226378315902</v>
          </cell>
          <cell r="K493">
            <v>2.4575809990283698E-4</v>
          </cell>
        </row>
        <row r="494">
          <cell r="B494" t="str">
            <v>D-SLFO</v>
          </cell>
          <cell r="C494" t="str">
            <v>VAR_fout</v>
          </cell>
          <cell r="D494" t="str">
            <v>SLFO</v>
          </cell>
          <cell r="I494">
            <v>8.9451736253593328</v>
          </cell>
          <cell r="J494">
            <v>3.6171092442199253</v>
          </cell>
          <cell r="K494">
            <v>0.20370887628180395</v>
          </cell>
        </row>
        <row r="495">
          <cell r="B495" t="str">
            <v>D-SLFO</v>
          </cell>
          <cell r="C495" t="str">
            <v>VAR_fin</v>
          </cell>
          <cell r="D495" t="str">
            <v>LFO</v>
          </cell>
          <cell r="I495">
            <v>9.0968197809206028</v>
          </cell>
          <cell r="J495">
            <v>3.6781853973291523</v>
          </cell>
          <cell r="K495">
            <v>3.3345739471212696E-6</v>
          </cell>
        </row>
        <row r="496">
          <cell r="B496" t="str">
            <v>D-SLFO</v>
          </cell>
          <cell r="C496" t="str">
            <v>VAR_fin</v>
          </cell>
          <cell r="D496" t="str">
            <v>BDS</v>
          </cell>
          <cell r="I496">
            <v>2.8653968476405323E-4</v>
          </cell>
          <cell r="J496">
            <v>3.6085216208193847E-4</v>
          </cell>
          <cell r="K496">
            <v>0.20716648112306693</v>
          </cell>
        </row>
        <row r="497">
          <cell r="B497" t="str">
            <v>D-RCOA</v>
          </cell>
          <cell r="C497" t="str">
            <v>VAR_fout</v>
          </cell>
          <cell r="D497" t="str">
            <v>CO2</v>
          </cell>
        </row>
        <row r="498">
          <cell r="B498" t="str">
            <v>D-RCOA</v>
          </cell>
          <cell r="C498" t="str">
            <v>VAR_fout</v>
          </cell>
          <cell r="D498" t="str">
            <v>RCOA</v>
          </cell>
        </row>
        <row r="499">
          <cell r="B499" t="str">
            <v>D-RCOA</v>
          </cell>
          <cell r="C499" t="str">
            <v>VAR_fin</v>
          </cell>
          <cell r="D499" t="str">
            <v>COA</v>
          </cell>
        </row>
        <row r="500">
          <cell r="B500" t="str">
            <v>EHYD-RUN00</v>
          </cell>
          <cell r="C500" t="str">
            <v>VAR_fout</v>
          </cell>
          <cell r="D500" t="str">
            <v>ELC13</v>
          </cell>
          <cell r="I500">
            <v>51.055955517394793</v>
          </cell>
          <cell r="J500">
            <v>49.956740681199641</v>
          </cell>
          <cell r="K500">
            <v>47.773670007440728</v>
          </cell>
        </row>
        <row r="501">
          <cell r="B501" t="str">
            <v>EHYD-RUN00</v>
          </cell>
          <cell r="C501" t="str">
            <v>VAR_fin</v>
          </cell>
          <cell r="D501" t="str">
            <v>HYDR</v>
          </cell>
          <cell r="I501">
            <v>51.055955517394793</v>
          </cell>
          <cell r="J501">
            <v>49.956740681199641</v>
          </cell>
          <cell r="K501">
            <v>47.773670007440728</v>
          </cell>
        </row>
        <row r="502">
          <cell r="B502" t="str">
            <v>EHYD-RUN00</v>
          </cell>
          <cell r="C502" t="str">
            <v>VAR_cap</v>
          </cell>
          <cell r="D502" t="str">
            <v>-</v>
          </cell>
          <cell r="I502">
            <v>3.9647700000000001</v>
          </cell>
          <cell r="J502">
            <v>3.9647700000000001</v>
          </cell>
          <cell r="K502">
            <v>3.9647700000000001</v>
          </cell>
        </row>
        <row r="503">
          <cell r="B503" t="str">
            <v>HPLELCHP</v>
          </cell>
          <cell r="C503" t="str">
            <v>VAR_fout</v>
          </cell>
          <cell r="D503" t="str">
            <v>LTH</v>
          </cell>
          <cell r="I503">
            <v>9.443985380236283</v>
          </cell>
          <cell r="J503">
            <v>9.9257235177832666</v>
          </cell>
          <cell r="K503">
            <v>10.964172633201748</v>
          </cell>
        </row>
        <row r="504">
          <cell r="B504" t="str">
            <v>HPLELCHP</v>
          </cell>
          <cell r="C504" t="str">
            <v>VAR_fin</v>
          </cell>
          <cell r="D504" t="str">
            <v>ELC35</v>
          </cell>
          <cell r="I504">
            <v>3.1479951267454265</v>
          </cell>
          <cell r="J504">
            <v>3.3085745059277571</v>
          </cell>
          <cell r="K504">
            <v>3.6547242110672462</v>
          </cell>
        </row>
        <row r="505">
          <cell r="B505" t="str">
            <v>HPLELCHP</v>
          </cell>
          <cell r="C505" t="str">
            <v>VAR_fin</v>
          </cell>
          <cell r="D505" t="str">
            <v>WWTPCC</v>
          </cell>
          <cell r="I505">
            <v>18.887970760472601</v>
          </cell>
          <cell r="J505">
            <v>19.851447035566501</v>
          </cell>
          <cell r="K505">
            <v>21.9283452664035</v>
          </cell>
        </row>
        <row r="506">
          <cell r="B506" t="str">
            <v>HPLELCHP</v>
          </cell>
          <cell r="C506" t="str">
            <v>VAR_ncap</v>
          </cell>
          <cell r="D506" t="str">
            <v>-</v>
          </cell>
          <cell r="I506">
            <v>2.8246125245152499E-2</v>
          </cell>
          <cell r="J506">
            <v>0.187101296396537</v>
          </cell>
          <cell r="K506">
            <v>0.41061533450495502</v>
          </cell>
        </row>
        <row r="507">
          <cell r="B507" t="str">
            <v>HPLELCHP</v>
          </cell>
          <cell r="C507" t="str">
            <v>VAR_cap</v>
          </cell>
          <cell r="D507" t="str">
            <v>-</v>
          </cell>
          <cell r="I507">
            <v>0.5815525456659657</v>
          </cell>
          <cell r="J507">
            <v>0.61134898048973552</v>
          </cell>
          <cell r="K507">
            <v>0.67657353351310612</v>
          </cell>
        </row>
        <row r="508">
          <cell r="B508" t="str">
            <v>D-ITOT_LTH</v>
          </cell>
          <cell r="C508" t="str">
            <v>VAR_fout</v>
          </cell>
          <cell r="D508" t="str">
            <v>ITOT_LTH_DH</v>
          </cell>
          <cell r="I508">
            <v>7.6289090443296024</v>
          </cell>
          <cell r="J508">
            <v>7.628912226957798</v>
          </cell>
          <cell r="K508">
            <v>10.1824589802867</v>
          </cell>
        </row>
        <row r="509">
          <cell r="B509" t="str">
            <v>D-ITOT_LTH</v>
          </cell>
          <cell r="C509" t="str">
            <v>VAR_fin</v>
          </cell>
          <cell r="D509" t="str">
            <v>LTH</v>
          </cell>
          <cell r="I509">
            <v>8.2772643146624745</v>
          </cell>
          <cell r="J509">
            <v>8.2718421858576736</v>
          </cell>
          <cell r="K509">
            <v>11.02613540519363</v>
          </cell>
        </row>
        <row r="510">
          <cell r="B510" t="str">
            <v>D-ITOT_LTH</v>
          </cell>
          <cell r="C510" t="str">
            <v>VAR_ncap</v>
          </cell>
          <cell r="D510" t="str">
            <v>-</v>
          </cell>
          <cell r="I510">
            <v>3.0879728308038899E-8</v>
          </cell>
          <cell r="J510">
            <v>4.7297149914005302E-8</v>
          </cell>
          <cell r="K510">
            <v>7.4409822722577105E-8</v>
          </cell>
        </row>
        <row r="511">
          <cell r="B511" t="str">
            <v>D-ITOT_LTH</v>
          </cell>
          <cell r="C511" t="str">
            <v>VAR_cap</v>
          </cell>
          <cell r="D511" t="str">
            <v>-</v>
          </cell>
          <cell r="I511">
            <v>0.79547248999307296</v>
          </cell>
          <cell r="J511">
            <v>0.79547253729022205</v>
          </cell>
          <cell r="K511">
            <v>0.79547261170004502</v>
          </cell>
        </row>
        <row r="512">
          <cell r="B512" t="str">
            <v>D-IH2</v>
          </cell>
          <cell r="C512" t="str">
            <v>VAR_fout</v>
          </cell>
          <cell r="D512" t="str">
            <v>IH2</v>
          </cell>
          <cell r="I512">
            <v>1.2467850028073251</v>
          </cell>
          <cell r="J512">
            <v>1.7318495619493177</v>
          </cell>
          <cell r="K512">
            <v>8.5361958580574839</v>
          </cell>
        </row>
        <row r="513">
          <cell r="B513" t="str">
            <v>D-IH2</v>
          </cell>
          <cell r="C513" t="str">
            <v>VAR_fin</v>
          </cell>
          <cell r="D513" t="str">
            <v>H2</v>
          </cell>
          <cell r="I513">
            <v>1.2562834947341754</v>
          </cell>
          <cell r="J513">
            <v>1.7450434639016632</v>
          </cell>
          <cell r="K513">
            <v>8.6012279103048233</v>
          </cell>
        </row>
        <row r="514">
          <cell r="B514" t="str">
            <v>D-IH2</v>
          </cell>
          <cell r="C514" t="str">
            <v>VAR_ncap</v>
          </cell>
          <cell r="D514" t="str">
            <v>-</v>
          </cell>
          <cell r="I514">
            <v>4.3773486590347098E-2</v>
          </cell>
          <cell r="J514">
            <v>2.69383100923902E-2</v>
          </cell>
          <cell r="K514">
            <v>0.303215215252013</v>
          </cell>
        </row>
        <row r="515">
          <cell r="B515" t="str">
            <v>D-IH2</v>
          </cell>
          <cell r="C515" t="str">
            <v>VAR_cap</v>
          </cell>
          <cell r="D515" t="str">
            <v>-</v>
          </cell>
          <cell r="I515">
            <v>4.3972242084985597E-2</v>
          </cell>
          <cell r="J515">
            <v>7.0910552177375893E-2</v>
          </cell>
          <cell r="K515">
            <v>0.37412576742938902</v>
          </cell>
        </row>
        <row r="516">
          <cell r="B516" t="str">
            <v>RHEM-ESOLPV</v>
          </cell>
          <cell r="C516" t="str">
            <v>VAR_fout</v>
          </cell>
          <cell r="D516" t="str">
            <v>RHEM_SOL_ELC</v>
          </cell>
          <cell r="I516">
            <v>1.7187708777281592</v>
          </cell>
          <cell r="J516">
            <v>1.8064461287329638</v>
          </cell>
          <cell r="K516">
            <v>1.9954406619272227</v>
          </cell>
        </row>
        <row r="517">
          <cell r="B517" t="str">
            <v>RHEM-ESOLPV</v>
          </cell>
          <cell r="C517" t="str">
            <v>VAR_fin</v>
          </cell>
          <cell r="D517" t="str">
            <v>SOL</v>
          </cell>
          <cell r="I517">
            <v>1.7187708777281592</v>
          </cell>
          <cell r="J517">
            <v>1.8064461287329638</v>
          </cell>
          <cell r="K517">
            <v>1.9954406619272227</v>
          </cell>
        </row>
        <row r="518">
          <cell r="B518" t="str">
            <v>RHEM-ESOLPV</v>
          </cell>
          <cell r="C518" t="str">
            <v>VAR_fin</v>
          </cell>
          <cell r="D518" t="str">
            <v>SOLPVC</v>
          </cell>
          <cell r="I518">
            <v>1.7187708777281601</v>
          </cell>
          <cell r="J518">
            <v>1.8064461287329601</v>
          </cell>
          <cell r="K518">
            <v>1.99544066192722</v>
          </cell>
        </row>
        <row r="519">
          <cell r="B519" t="str">
            <v>RHEM-ESOLPV</v>
          </cell>
          <cell r="C519" t="str">
            <v>VAR_ncap</v>
          </cell>
          <cell r="D519" t="str">
            <v>-</v>
          </cell>
          <cell r="I519">
            <v>0.112495190490252</v>
          </cell>
          <cell r="J519">
            <v>0.25026276454269403</v>
          </cell>
          <cell r="K519">
            <v>0.235322080304535</v>
          </cell>
        </row>
        <row r="520">
          <cell r="B520" t="str">
            <v>RHEM-ESOLPV</v>
          </cell>
          <cell r="C520" t="str">
            <v>VAR_cap</v>
          </cell>
          <cell r="D520" t="str">
            <v>-</v>
          </cell>
          <cell r="I520">
            <v>0.49547233962617998</v>
          </cell>
          <cell r="J520">
            <v>0.52074670567336401</v>
          </cell>
          <cell r="K520">
            <v>0.57522799765860599</v>
          </cell>
        </row>
        <row r="521">
          <cell r="B521" t="str">
            <v>HPLNUC</v>
          </cell>
          <cell r="C521" t="str">
            <v>VAR_fout</v>
          </cell>
          <cell r="D521" t="str">
            <v>LTH</v>
          </cell>
          <cell r="I521">
            <v>0.85630911929824161</v>
          </cell>
          <cell r="J521">
            <v>0.85630244901962305</v>
          </cell>
          <cell r="K521">
            <v>0.26172965173491508</v>
          </cell>
        </row>
        <row r="522">
          <cell r="B522" t="str">
            <v>HPLNUC</v>
          </cell>
          <cell r="C522" t="str">
            <v>VAR_fin</v>
          </cell>
          <cell r="D522" t="str">
            <v>URN</v>
          </cell>
          <cell r="I522">
            <v>0.85630911929824161</v>
          </cell>
          <cell r="J522">
            <v>0.85630244901962305</v>
          </cell>
          <cell r="K522">
            <v>0.26172965173491508</v>
          </cell>
        </row>
        <row r="523">
          <cell r="B523" t="str">
            <v>HPLNUC</v>
          </cell>
          <cell r="C523" t="str">
            <v>VAR_cap</v>
          </cell>
          <cell r="D523" t="str">
            <v>-</v>
          </cell>
          <cell r="I523">
            <v>0.120558721922211</v>
          </cell>
          <cell r="J523">
            <v>0.120558721922211</v>
          </cell>
          <cell r="K523">
            <v>0.10944824367396699</v>
          </cell>
        </row>
        <row r="524">
          <cell r="B524" t="str">
            <v>ITOT-CHPWODCCS</v>
          </cell>
          <cell r="C524" t="str">
            <v>VAR_fout</v>
          </cell>
          <cell r="D524" t="str">
            <v>CO2_O</v>
          </cell>
          <cell r="J524">
            <v>214.3072312615565</v>
          </cell>
          <cell r="K524">
            <v>589.46322900808832</v>
          </cell>
        </row>
        <row r="525">
          <cell r="B525" t="str">
            <v>ITOT-CHPWODCCS</v>
          </cell>
          <cell r="C525" t="str">
            <v>VAR_fout</v>
          </cell>
          <cell r="D525" t="str">
            <v>CO2</v>
          </cell>
          <cell r="J525">
            <v>-214.30723126155601</v>
          </cell>
          <cell r="K525">
            <v>-589.46322900808798</v>
          </cell>
        </row>
        <row r="526">
          <cell r="B526" t="str">
            <v>ITOT-CHPWODCCS</v>
          </cell>
          <cell r="C526" t="str">
            <v>VAR_fout</v>
          </cell>
          <cell r="D526" t="str">
            <v>ITOT_LTH_CHP</v>
          </cell>
          <cell r="J526">
            <v>1.5256256068750587</v>
          </cell>
          <cell r="K526">
            <v>4.3697142467727552</v>
          </cell>
        </row>
        <row r="527">
          <cell r="B527" t="str">
            <v>ITOT-CHPWODCCS</v>
          </cell>
          <cell r="C527" t="str">
            <v>VAR_fout</v>
          </cell>
          <cell r="D527" t="str">
            <v>ITOT_KEV_WOD_ELC_CHP</v>
          </cell>
          <cell r="J527">
            <v>0.7212048323409358</v>
          </cell>
          <cell r="K527">
            <v>2.0656830984743868</v>
          </cell>
        </row>
        <row r="528">
          <cell r="B528" t="str">
            <v>ITOT-CHPWODCCS</v>
          </cell>
          <cell r="C528" t="str">
            <v>VAR_fin</v>
          </cell>
          <cell r="D528" t="str">
            <v>IWOD</v>
          </cell>
          <cell r="J528">
            <v>2.1501833119913032</v>
          </cell>
          <cell r="K528">
            <v>5.9178004077908941</v>
          </cell>
        </row>
        <row r="529">
          <cell r="B529" t="str">
            <v>ITOT-CHPWODCCS</v>
          </cell>
          <cell r="C529" t="str">
            <v>VAR_ncap</v>
          </cell>
          <cell r="D529" t="str">
            <v>-</v>
          </cell>
          <cell r="J529">
            <v>3.4469659714718603E-2</v>
          </cell>
          <cell r="K529">
            <v>5.1388279286387603E-2</v>
          </cell>
        </row>
        <row r="530">
          <cell r="B530" t="str">
            <v>ITOT-CHPWODCCS</v>
          </cell>
          <cell r="C530" t="str">
            <v>VAR_cap</v>
          </cell>
          <cell r="D530" t="str">
            <v>-</v>
          </cell>
          <cell r="J530">
            <v>3.4469659714718603E-2</v>
          </cell>
          <cell r="K530">
            <v>7.6404066897947806E-2</v>
          </cell>
        </row>
        <row r="531">
          <cell r="B531" t="str">
            <v>SUP_WODBIO</v>
          </cell>
          <cell r="C531" t="str">
            <v>VAR_fout</v>
          </cell>
          <cell r="D531" t="str">
            <v>ELC35</v>
          </cell>
          <cell r="I531">
            <v>1.5495183347582949E-5</v>
          </cell>
          <cell r="J531">
            <v>1.6029951790218063E-5</v>
          </cell>
          <cell r="K531">
            <v>1.6084879747314986E-5</v>
          </cell>
        </row>
        <row r="532">
          <cell r="B532" t="str">
            <v>SUP_WODBIO</v>
          </cell>
          <cell r="C532" t="str">
            <v>VAR_fout</v>
          </cell>
          <cell r="D532" t="str">
            <v>BIO</v>
          </cell>
          <cell r="I532">
            <v>3.8737958368957316E-4</v>
          </cell>
          <cell r="J532">
            <v>4.0074879475545056E-4</v>
          </cell>
          <cell r="K532">
            <v>4.0235217767192895E-4</v>
          </cell>
        </row>
        <row r="533">
          <cell r="B533" t="str">
            <v>SUP_WODBIO</v>
          </cell>
          <cell r="C533" t="str">
            <v>VAR_fout</v>
          </cell>
          <cell r="D533" t="str">
            <v>LTH</v>
          </cell>
          <cell r="I533">
            <v>4.6485550042748849E-5</v>
          </cell>
          <cell r="J533">
            <v>4.8089855370654102E-5</v>
          </cell>
          <cell r="K533">
            <v>4.8282261320631512E-5</v>
          </cell>
        </row>
        <row r="534">
          <cell r="B534" t="str">
            <v>SUP_WODBIO</v>
          </cell>
          <cell r="C534" t="str">
            <v>VAR_fin</v>
          </cell>
          <cell r="D534" t="str">
            <v>CWOD</v>
          </cell>
          <cell r="I534">
            <v>5.2296243798092396E-4</v>
          </cell>
          <cell r="J534">
            <v>5.4101087291985844E-4</v>
          </cell>
          <cell r="K534">
            <v>5.4317543985710442E-4</v>
          </cell>
        </row>
        <row r="535">
          <cell r="B535" t="str">
            <v>SUP_WODBIO</v>
          </cell>
          <cell r="C535" t="str">
            <v>VAR_ncap</v>
          </cell>
          <cell r="D535" t="str">
            <v>-</v>
          </cell>
          <cell r="I535">
            <v>1.06562459246518E-5</v>
          </cell>
          <cell r="J535">
            <v>6.0609578082261598E-6</v>
          </cell>
          <cell r="K535">
            <v>7.8394865298502794E-6</v>
          </cell>
        </row>
        <row r="536">
          <cell r="B536" t="str">
            <v>SUP_WODBIO</v>
          </cell>
          <cell r="C536" t="str">
            <v>VAR_cap</v>
          </cell>
          <cell r="D536" t="str">
            <v>-</v>
          </cell>
          <cell r="I536">
            <v>3.3494661295516273E-5</v>
          </cell>
          <cell r="J536">
            <v>2.9001048179585269E-5</v>
          </cell>
          <cell r="K536">
            <v>2.2400859998283916E-5</v>
          </cell>
        </row>
        <row r="537">
          <cell r="B537" t="str">
            <v>D-RLFO</v>
          </cell>
          <cell r="C537" t="str">
            <v>VAR_fout</v>
          </cell>
          <cell r="D537" t="str">
            <v>CO2</v>
          </cell>
          <cell r="I537">
            <v>1083.89391611919</v>
          </cell>
          <cell r="J537">
            <v>389.59647669807299</v>
          </cell>
          <cell r="K537">
            <v>2.7039262399503299E-4</v>
          </cell>
        </row>
        <row r="538">
          <cell r="B538" t="str">
            <v>D-RLFO</v>
          </cell>
          <cell r="C538" t="str">
            <v>VAR_fout</v>
          </cell>
          <cell r="D538" t="str">
            <v>RLFO</v>
          </cell>
          <cell r="I538">
            <v>14.461498306461246</v>
          </cell>
          <cell r="J538">
            <v>5.1983198488799074</v>
          </cell>
          <cell r="K538">
            <v>0.44673267527185878</v>
          </cell>
        </row>
        <row r="539">
          <cell r="B539" t="str">
            <v>D-RLFO</v>
          </cell>
          <cell r="C539" t="str">
            <v>VAR_fin</v>
          </cell>
          <cell r="D539" t="str">
            <v>LFO</v>
          </cell>
          <cell r="I539">
            <v>14.706837396461159</v>
          </cell>
          <cell r="J539">
            <v>5.2862479877621853</v>
          </cell>
          <cell r="K539">
            <v>3.6688280053600057E-6</v>
          </cell>
        </row>
        <row r="540">
          <cell r="B540" t="str">
            <v>D-RLFO</v>
          </cell>
          <cell r="C540" t="str">
            <v>VAR_fin</v>
          </cell>
          <cell r="D540" t="str">
            <v>BDS</v>
          </cell>
          <cell r="I540">
            <v>2.8713201653246014E-4</v>
          </cell>
          <cell r="J540">
            <v>3.6454437293291606E-4</v>
          </cell>
          <cell r="K540">
            <v>0.45431932195887426</v>
          </cell>
        </row>
        <row r="541">
          <cell r="B541" t="str">
            <v>G-INTC-EXP00-IT</v>
          </cell>
          <cell r="C541" t="str">
            <v>VAR_fout</v>
          </cell>
          <cell r="D541" t="str">
            <v>ELC_E-IT</v>
          </cell>
          <cell r="I541">
            <v>38.822034625727142</v>
          </cell>
          <cell r="J541">
            <v>22.500128535664402</v>
          </cell>
          <cell r="K541">
            <v>17.362320860805376</v>
          </cell>
        </row>
        <row r="542">
          <cell r="B542" t="str">
            <v>G-INTC-EXP00-IT</v>
          </cell>
          <cell r="C542" t="str">
            <v>VAR_fin</v>
          </cell>
          <cell r="D542" t="str">
            <v>ELC</v>
          </cell>
          <cell r="I542">
            <v>38.822034625727142</v>
          </cell>
          <cell r="J542">
            <v>22.500128535664402</v>
          </cell>
          <cell r="K542">
            <v>17.362320860805376</v>
          </cell>
        </row>
        <row r="543">
          <cell r="B543" t="str">
            <v>G-INTC-EXP00-IT</v>
          </cell>
          <cell r="C543" t="str">
            <v>VAR_ncap</v>
          </cell>
          <cell r="D543" t="str">
            <v>-</v>
          </cell>
          <cell r="I543">
            <v>6.7060693024152501E-7</v>
          </cell>
          <cell r="J543">
            <v>1.0888122674713899E-6</v>
          </cell>
          <cell r="K543">
            <v>1.8761323013463599E-6</v>
          </cell>
        </row>
        <row r="544">
          <cell r="B544" t="str">
            <v>G-INTC-EXP00-IT</v>
          </cell>
          <cell r="C544" t="str">
            <v>VAR_cap</v>
          </cell>
          <cell r="D544" t="str">
            <v>-</v>
          </cell>
          <cell r="I544">
            <v>3.7500005730132182</v>
          </cell>
          <cell r="J544">
            <v>2.4000000837095641</v>
          </cell>
          <cell r="K544">
            <v>2.4000000650521924</v>
          </cell>
        </row>
        <row r="545">
          <cell r="B545" t="str">
            <v>EWOD-CCS</v>
          </cell>
          <cell r="C545" t="str">
            <v>VAR_fout</v>
          </cell>
          <cell r="D545" t="str">
            <v>CO2_O</v>
          </cell>
          <cell r="J545">
            <v>0.16237589541537381</v>
          </cell>
          <cell r="K545">
            <v>1316.9065783162334</v>
          </cell>
        </row>
        <row r="546">
          <cell r="B546" t="str">
            <v>EWOD-CCS</v>
          </cell>
          <cell r="C546" t="str">
            <v>VAR_fout</v>
          </cell>
          <cell r="D546" t="str">
            <v>CO2</v>
          </cell>
          <cell r="J546">
            <v>-0.16237589541537401</v>
          </cell>
          <cell r="K546">
            <v>-1316.90657831623</v>
          </cell>
        </row>
        <row r="547">
          <cell r="B547" t="str">
            <v>EWOD-CCS</v>
          </cell>
          <cell r="C547" t="str">
            <v>VAR_fout</v>
          </cell>
          <cell r="D547" t="str">
            <v>ELC13</v>
          </cell>
          <cell r="J547">
            <v>3.5988073234330316E-4</v>
          </cell>
          <cell r="K547">
            <v>2.9187171077320366</v>
          </cell>
        </row>
        <row r="548">
          <cell r="B548" t="str">
            <v>EWOD-CCS</v>
          </cell>
          <cell r="C548" t="str">
            <v>VAR_fin</v>
          </cell>
          <cell r="D548" t="str">
            <v>EWOD</v>
          </cell>
          <cell r="J548">
            <v>1.8415708492160198E-3</v>
          </cell>
          <cell r="K548">
            <v>10.993274925404885</v>
          </cell>
        </row>
        <row r="549">
          <cell r="B549" t="str">
            <v>EWOD-CCS</v>
          </cell>
          <cell r="C549" t="str">
            <v>VAR_ncap</v>
          </cell>
          <cell r="D549" t="str">
            <v>-</v>
          </cell>
          <cell r="J549">
            <v>1.05649262188712E-4</v>
          </cell>
          <cell r="K549">
            <v>0.15307427039862601</v>
          </cell>
        </row>
        <row r="550">
          <cell r="B550" t="str">
            <v>EWOD-CCS</v>
          </cell>
          <cell r="C550" t="str">
            <v>VAR_cap</v>
          </cell>
          <cell r="D550" t="str">
            <v>-</v>
          </cell>
          <cell r="J550">
            <v>5.0868958018812902E-5</v>
          </cell>
          <cell r="K550">
            <v>0.11337507542843309</v>
          </cell>
        </row>
        <row r="551">
          <cell r="B551" t="str">
            <v>EOIL-ENG</v>
          </cell>
          <cell r="C551" t="str">
            <v>VAR_fout</v>
          </cell>
          <cell r="D551" t="str">
            <v>ELC35</v>
          </cell>
          <cell r="I551">
            <v>3.3539793274130469E-4</v>
          </cell>
          <cell r="J551">
            <v>1.996380093038928E-3</v>
          </cell>
          <cell r="K551">
            <v>2.5616486711682323E-5</v>
          </cell>
        </row>
        <row r="552">
          <cell r="B552" t="str">
            <v>EOIL-ENG</v>
          </cell>
          <cell r="C552" t="str">
            <v>VAR_fout</v>
          </cell>
          <cell r="D552" t="str">
            <v>CO2_E</v>
          </cell>
          <cell r="I552">
            <v>8.2400085969135006E-2</v>
          </cell>
          <cell r="J552">
            <v>0.49070525998890002</v>
          </cell>
          <cell r="K552">
            <v>5.9692555657752397E-3</v>
          </cell>
        </row>
        <row r="553">
          <cell r="B553" t="str">
            <v>EOIL-ENG</v>
          </cell>
          <cell r="C553" t="str">
            <v>VAR_fin</v>
          </cell>
          <cell r="D553" t="str">
            <v>ELFO</v>
          </cell>
          <cell r="I553">
            <v>1.118047299445522E-3</v>
          </cell>
          <cell r="J553">
            <v>6.658144640283587E-3</v>
          </cell>
          <cell r="K553">
            <v>8.0993969684874255E-5</v>
          </cell>
        </row>
        <row r="554">
          <cell r="B554" t="str">
            <v>EOIL-ENG</v>
          </cell>
          <cell r="C554" t="str">
            <v>VAR_ncap</v>
          </cell>
          <cell r="D554" t="str">
            <v>-</v>
          </cell>
          <cell r="I554">
            <v>1.48206173901519E-2</v>
          </cell>
          <cell r="J554">
            <v>3.4621517949755601E-4</v>
          </cell>
          <cell r="K554">
            <v>1.8380431014080001E-6</v>
          </cell>
        </row>
        <row r="555">
          <cell r="B555" t="str">
            <v>EOIL-ENG</v>
          </cell>
          <cell r="C555" t="str">
            <v>VAR_cap</v>
          </cell>
          <cell r="D555" t="str">
            <v>-</v>
          </cell>
          <cell r="I555">
            <v>4.3503509462158932E-2</v>
          </cell>
          <cell r="J555">
            <v>4.384809763961902E-2</v>
          </cell>
          <cell r="K555">
            <v>2.0031351459988543E-2</v>
          </cell>
        </row>
        <row r="556">
          <cell r="B556" t="str">
            <v>D-SWOD</v>
          </cell>
          <cell r="C556" t="str">
            <v>VAR_fout</v>
          </cell>
          <cell r="D556" t="str">
            <v>SWOD</v>
          </cell>
          <cell r="I556">
            <v>9.5387274212772049</v>
          </cell>
          <cell r="J556">
            <v>8.0137413992809083</v>
          </cell>
          <cell r="K556">
            <v>5.0879312133463523</v>
          </cell>
        </row>
        <row r="557">
          <cell r="B557" t="str">
            <v>D-SWOD</v>
          </cell>
          <cell r="C557" t="str">
            <v>VAR_fin</v>
          </cell>
          <cell r="D557" t="str">
            <v>WOD</v>
          </cell>
          <cell r="I557">
            <v>9.5387274212772049</v>
          </cell>
          <cell r="J557">
            <v>8.0137413992809083</v>
          </cell>
          <cell r="K557">
            <v>5.0879312133463523</v>
          </cell>
        </row>
        <row r="558">
          <cell r="B558" t="str">
            <v>SCOM-CHPWOD</v>
          </cell>
          <cell r="C558" t="str">
            <v>VAR_fout</v>
          </cell>
          <cell r="D558" t="str">
            <v>SCOM_KEV_WOD_ELC_CHP</v>
          </cell>
          <cell r="I558">
            <v>5.7568779309339767E-4</v>
          </cell>
          <cell r="J558">
            <v>7.4671543463277574E-4</v>
          </cell>
          <cell r="K558">
            <v>3.4285048923564398E-4</v>
          </cell>
        </row>
        <row r="559">
          <cell r="B559" t="str">
            <v>SCOM-CHPWOD</v>
          </cell>
          <cell r="C559" t="str">
            <v>VAR_fout</v>
          </cell>
          <cell r="D559" t="str">
            <v>SCOM_LTH_CHPWOD</v>
          </cell>
          <cell r="I559">
            <v>9.0021746996661036E-4</v>
          </cell>
          <cell r="J559">
            <v>1.1419383588196458E-3</v>
          </cell>
          <cell r="K559">
            <v>5.0350887735653362E-4</v>
          </cell>
        </row>
        <row r="560">
          <cell r="B560" t="str">
            <v>SCOM-CHPWOD</v>
          </cell>
          <cell r="C560" t="str">
            <v>VAR_fin</v>
          </cell>
          <cell r="D560" t="str">
            <v>SWOD</v>
          </cell>
          <cell r="I560">
            <v>1.9870203667796743E-3</v>
          </cell>
          <cell r="J560">
            <v>2.4874847350009766E-3</v>
          </cell>
          <cell r="K560">
            <v>1.3508504637929661E-3</v>
          </cell>
        </row>
        <row r="561">
          <cell r="B561" t="str">
            <v>SCOM-CHPWOD</v>
          </cell>
          <cell r="C561" t="str">
            <v>VAR_ncap</v>
          </cell>
          <cell r="D561" t="str">
            <v>-</v>
          </cell>
          <cell r="I561">
            <v>2.0767961267087799E-5</v>
          </cell>
          <cell r="J561">
            <v>1.06404340636099E-5</v>
          </cell>
          <cell r="K561">
            <v>2.1092251476429701E-5</v>
          </cell>
        </row>
        <row r="562">
          <cell r="B562" t="str">
            <v>SCOM-CHPWOD</v>
          </cell>
          <cell r="C562" t="str">
            <v>VAR_cap</v>
          </cell>
          <cell r="D562" t="str">
            <v>-</v>
          </cell>
          <cell r="I562">
            <v>7.5015569433392284E-5</v>
          </cell>
          <cell r="J562">
            <v>6.837571235853652E-5</v>
          </cell>
          <cell r="K562">
            <v>3.7520078259156147E-5</v>
          </cell>
        </row>
        <row r="563">
          <cell r="B563" t="str">
            <v>ENUC_BMGL</v>
          </cell>
          <cell r="C563" t="str">
            <v>VAR_fout</v>
          </cell>
          <cell r="D563" t="str">
            <v>ELC</v>
          </cell>
        </row>
        <row r="564">
          <cell r="B564" t="str">
            <v>ENUC_BMGL</v>
          </cell>
          <cell r="C564" t="str">
            <v>VAR_fin</v>
          </cell>
          <cell r="D564" t="str">
            <v>URN</v>
          </cell>
        </row>
        <row r="565">
          <cell r="B565" t="str">
            <v>ENUC_BMGL</v>
          </cell>
          <cell r="C565" t="str">
            <v>VAR_cap</v>
          </cell>
          <cell r="D565" t="str">
            <v>-</v>
          </cell>
        </row>
        <row r="566">
          <cell r="B566" t="str">
            <v>D-RSH2R</v>
          </cell>
          <cell r="C566" t="str">
            <v>VAR_fout</v>
          </cell>
          <cell r="D566" t="str">
            <v>RSH2</v>
          </cell>
          <cell r="I566">
            <v>1.5237163291735527E-4</v>
          </cell>
          <cell r="J566">
            <v>1.0688698038476726E-4</v>
          </cell>
          <cell r="K566">
            <v>1.3748040730220048E-4</v>
          </cell>
        </row>
        <row r="567">
          <cell r="B567" t="str">
            <v>D-RSH2R</v>
          </cell>
          <cell r="C567" t="str">
            <v>VAR_fin</v>
          </cell>
          <cell r="D567" t="str">
            <v>H2</v>
          </cell>
          <cell r="I567">
            <v>1.5237163291735527E-4</v>
          </cell>
          <cell r="J567">
            <v>1.0688698038476726E-4</v>
          </cell>
          <cell r="K567">
            <v>1.3748040730220048E-4</v>
          </cell>
        </row>
        <row r="568">
          <cell r="B568" t="str">
            <v>D-RSH2R</v>
          </cell>
          <cell r="C568" t="str">
            <v>VAR_ncap</v>
          </cell>
          <cell r="D568" t="str">
            <v>-</v>
          </cell>
          <cell r="I568">
            <v>3.5136950368608101E-5</v>
          </cell>
          <cell r="J568">
            <v>3.8459248315282703E-5</v>
          </cell>
          <cell r="K568">
            <v>1.98207860726113E-5</v>
          </cell>
        </row>
        <row r="569">
          <cell r="B569" t="str">
            <v>D-RSH2R</v>
          </cell>
          <cell r="C569" t="str">
            <v>VAR_cap</v>
          </cell>
          <cell r="D569" t="str">
            <v>-</v>
          </cell>
          <cell r="I569">
            <v>5.8162267564126403E-5</v>
          </cell>
          <cell r="J569">
            <v>4.4682772542099299E-5</v>
          </cell>
          <cell r="K569">
            <v>3.2993895754412201E-5</v>
          </cell>
        </row>
        <row r="570">
          <cell r="B570" t="str">
            <v>ENGA-GTOC</v>
          </cell>
          <cell r="C570" t="str">
            <v>VAR_fout</v>
          </cell>
          <cell r="D570" t="str">
            <v>ELC13</v>
          </cell>
          <cell r="J570">
            <v>1.19051821600124E-8</v>
          </cell>
          <cell r="K570">
            <v>1.3816196104283317E-3</v>
          </cell>
        </row>
        <row r="571">
          <cell r="B571" t="str">
            <v>ENGA-GTOC</v>
          </cell>
          <cell r="C571" t="str">
            <v>VAR_fout</v>
          </cell>
          <cell r="D571" t="str">
            <v>CO2_E</v>
          </cell>
          <cell r="J571">
            <v>3.6894173007216702E-4</v>
          </cell>
          <cell r="K571">
            <v>0.20048931522730901</v>
          </cell>
        </row>
        <row r="572">
          <cell r="B572" t="str">
            <v>ENGA-GTOC</v>
          </cell>
          <cell r="C572" t="str">
            <v>VAR_fin</v>
          </cell>
          <cell r="D572" t="str">
            <v>ENGA</v>
          </cell>
          <cell r="J572">
            <v>6.5415200367405671E-6</v>
          </cell>
          <cell r="K572">
            <v>3.5547750926827881E-3</v>
          </cell>
        </row>
        <row r="573">
          <cell r="B573" t="str">
            <v>ENGA-GTOC</v>
          </cell>
          <cell r="C573" t="str">
            <v>VAR_fin</v>
          </cell>
          <cell r="D573" t="str">
            <v>GTC</v>
          </cell>
          <cell r="I573">
            <v>2.5646345857049799E-4</v>
          </cell>
          <cell r="J573">
            <v>1.0655506951790762E-3</v>
          </cell>
          <cell r="K573">
            <v>1.0676289423144096E-3</v>
          </cell>
        </row>
        <row r="574">
          <cell r="B574" t="str">
            <v>ENGA-GTOC</v>
          </cell>
          <cell r="C574" t="str">
            <v>VAR_ncap</v>
          </cell>
          <cell r="D574" t="str">
            <v>-</v>
          </cell>
          <cell r="I574">
            <v>1.0649685269411701E-3</v>
          </cell>
          <cell r="J574">
            <v>1.9800904235274601E-6</v>
          </cell>
          <cell r="K574">
            <v>3.0138071614663301E-6</v>
          </cell>
        </row>
        <row r="575">
          <cell r="B575" t="str">
            <v>ENGA-GTOC</v>
          </cell>
          <cell r="C575" t="str">
            <v>VAR_cap</v>
          </cell>
          <cell r="D575" t="str">
            <v>-</v>
          </cell>
          <cell r="I575">
            <v>2.5646345857049799E-4</v>
          </cell>
          <cell r="J575">
            <v>1.0655506951790753E-3</v>
          </cell>
          <cell r="K575">
            <v>1.0676289423144089E-3</v>
          </cell>
        </row>
        <row r="576">
          <cell r="B576" t="str">
            <v>D-RSH2</v>
          </cell>
          <cell r="C576" t="str">
            <v>VAR_fout</v>
          </cell>
          <cell r="D576" t="str">
            <v>RSH2</v>
          </cell>
          <cell r="I576">
            <v>1.4475448193212759E-4</v>
          </cell>
          <cell r="J576">
            <v>1.0094306090732448E-4</v>
          </cell>
          <cell r="K576">
            <v>1.4494306573756196E-4</v>
          </cell>
        </row>
        <row r="577">
          <cell r="B577" t="str">
            <v>D-RSH2</v>
          </cell>
          <cell r="C577" t="str">
            <v>VAR_fin</v>
          </cell>
          <cell r="D577" t="str">
            <v>H2</v>
          </cell>
          <cell r="I577">
            <v>1.4585727774288229E-4</v>
          </cell>
          <cell r="J577">
            <v>1.0171208431307664E-4</v>
          </cell>
          <cell r="K577">
            <v>1.4604729825292031E-4</v>
          </cell>
        </row>
        <row r="578">
          <cell r="B578" t="str">
            <v>D-RSH2</v>
          </cell>
          <cell r="C578" t="str">
            <v>VAR_ncap</v>
          </cell>
          <cell r="D578" t="str">
            <v>-</v>
          </cell>
          <cell r="I578">
            <v>1.25873956782152E-5</v>
          </cell>
          <cell r="J578">
            <v>1.37496141946402E-6</v>
          </cell>
          <cell r="K578">
            <v>1.1182046943961201E-6</v>
          </cell>
        </row>
        <row r="579">
          <cell r="B579" t="str">
            <v>D-RSH2</v>
          </cell>
          <cell r="C579" t="str">
            <v>VAR_cap</v>
          </cell>
          <cell r="D579" t="str">
            <v>-</v>
          </cell>
          <cell r="I579">
            <v>5.2339918541800599E-5</v>
          </cell>
          <cell r="J579">
            <v>5.3714879961264602E-5</v>
          </cell>
          <cell r="K579">
            <v>5.4833084655660698E-5</v>
          </cell>
        </row>
        <row r="580">
          <cell r="B580" t="str">
            <v>D-RWOD</v>
          </cell>
          <cell r="C580" t="str">
            <v>VAR_fout</v>
          </cell>
          <cell r="D580" t="str">
            <v>RWOD</v>
          </cell>
          <cell r="I580">
            <v>14.01601135199148</v>
          </cell>
          <cell r="J580">
            <v>11.932789596017674</v>
          </cell>
          <cell r="K580">
            <v>6.9804579576292829</v>
          </cell>
        </row>
        <row r="581">
          <cell r="B581" t="str">
            <v>D-RWOD</v>
          </cell>
          <cell r="C581" t="str">
            <v>VAR_fin</v>
          </cell>
          <cell r="D581" t="str">
            <v>WOD</v>
          </cell>
          <cell r="I581">
            <v>14.01601135199148</v>
          </cell>
          <cell r="J581">
            <v>11.932789596017674</v>
          </cell>
          <cell r="K581">
            <v>6.9804579576292829</v>
          </cell>
        </row>
        <row r="582">
          <cell r="B582" t="str">
            <v>CHPOIL</v>
          </cell>
          <cell r="C582" t="str">
            <v>VAR_fout</v>
          </cell>
          <cell r="D582" t="str">
            <v>ELC35</v>
          </cell>
          <cell r="I582">
            <v>1.4175635901808335E-4</v>
          </cell>
          <cell r="J582">
            <v>0.169538866501178</v>
          </cell>
          <cell r="K582">
            <v>6.2654808391256726E-6</v>
          </cell>
        </row>
        <row r="583">
          <cell r="B583" t="str">
            <v>CHPOIL</v>
          </cell>
          <cell r="C583" t="str">
            <v>VAR_fout</v>
          </cell>
          <cell r="D583" t="str">
            <v>LTH</v>
          </cell>
          <cell r="I583">
            <v>7.2903270352157174E-4</v>
          </cell>
          <cell r="J583">
            <v>0.87191417057748766</v>
          </cell>
          <cell r="K583">
            <v>3.2222472886932003E-5</v>
          </cell>
        </row>
        <row r="584">
          <cell r="B584" t="str">
            <v>CHPOIL</v>
          </cell>
          <cell r="C584" t="str">
            <v>VAR_fout</v>
          </cell>
          <cell r="D584" t="str">
            <v>CO2_E</v>
          </cell>
          <cell r="I584">
            <v>0.101130999792567</v>
          </cell>
          <cell r="J584">
            <v>107.53325610239099</v>
          </cell>
          <cell r="K584">
            <v>4.45759121003455E-3</v>
          </cell>
        </row>
        <row r="585">
          <cell r="B585" t="str">
            <v>CHPOIL</v>
          </cell>
          <cell r="C585" t="str">
            <v>VAR_fin</v>
          </cell>
          <cell r="D585" t="str">
            <v>ELFO</v>
          </cell>
          <cell r="I585">
            <v>1.372198097592502E-3</v>
          </cell>
          <cell r="J585">
            <v>1.4590672469795285</v>
          </cell>
          <cell r="K585">
            <v>6.0482920081879956E-5</v>
          </cell>
        </row>
        <row r="586">
          <cell r="B586" t="str">
            <v>CHPOIL</v>
          </cell>
          <cell r="C586" t="str">
            <v>VAR_ncap</v>
          </cell>
          <cell r="D586" t="str">
            <v>-</v>
          </cell>
          <cell r="I586">
            <v>7.2812967501076303E-6</v>
          </cell>
          <cell r="J586">
            <v>1.5735019539585799E-2</v>
          </cell>
          <cell r="K586">
            <v>5.63919707483927E-7</v>
          </cell>
        </row>
        <row r="587">
          <cell r="B587" t="str">
            <v>CHPOIL</v>
          </cell>
          <cell r="C587" t="str">
            <v>VAR_cap</v>
          </cell>
          <cell r="D587" t="str">
            <v>-</v>
          </cell>
          <cell r="I587">
            <v>1.0819915302612377E-3</v>
          </cell>
          <cell r="J587">
            <v>1.6103250364480019E-2</v>
          </cell>
          <cell r="K587">
            <v>2.6354263041470163E-4</v>
          </cell>
        </row>
        <row r="588">
          <cell r="B588" t="str">
            <v>CHPHFC</v>
          </cell>
          <cell r="C588" t="str">
            <v>VAR_fout</v>
          </cell>
          <cell r="D588" t="str">
            <v>ELC35</v>
          </cell>
          <cell r="J588">
            <v>4.6289290645330175E-2</v>
          </cell>
          <cell r="K588">
            <v>4.6294636288881509E-2</v>
          </cell>
        </row>
        <row r="589">
          <cell r="B589" t="str">
            <v>CHPHFC</v>
          </cell>
          <cell r="C589" t="str">
            <v>VAR_fout</v>
          </cell>
          <cell r="D589" t="str">
            <v>LTH</v>
          </cell>
          <cell r="J589">
            <v>5.6208424355043501E-2</v>
          </cell>
          <cell r="K589">
            <v>5.8419421983588425E-2</v>
          </cell>
        </row>
        <row r="590">
          <cell r="B590" t="str">
            <v>CHPHFC</v>
          </cell>
          <cell r="C590" t="str">
            <v>VAR_fin</v>
          </cell>
          <cell r="D590" t="str">
            <v>EH2</v>
          </cell>
          <cell r="J590">
            <v>0.11021259677459566</v>
          </cell>
          <cell r="K590">
            <v>0.11022532449733698</v>
          </cell>
        </row>
        <row r="591">
          <cell r="B591" t="str">
            <v>CHPHFC</v>
          </cell>
          <cell r="C591" t="str">
            <v>VAR_ncap</v>
          </cell>
          <cell r="D591" t="str">
            <v>-</v>
          </cell>
          <cell r="J591">
            <v>5.9119312509369297E-3</v>
          </cell>
          <cell r="K591">
            <v>1.9129701217574799E-7</v>
          </cell>
        </row>
        <row r="592">
          <cell r="B592" t="str">
            <v>CHPHFC</v>
          </cell>
          <cell r="C592" t="str">
            <v>VAR_cap</v>
          </cell>
          <cell r="D592" t="str">
            <v>-</v>
          </cell>
          <cell r="J592">
            <v>5.9119312509369297E-3</v>
          </cell>
          <cell r="K592">
            <v>5.8108648846960237E-3</v>
          </cell>
        </row>
        <row r="593">
          <cell r="B593" t="str">
            <v>ITOT-ESOLPV</v>
          </cell>
          <cell r="C593" t="str">
            <v>VAR_fout</v>
          </cell>
          <cell r="D593" t="str">
            <v>ITOT_SOL_ELC</v>
          </cell>
          <cell r="I593">
            <v>20.470652173476445</v>
          </cell>
          <cell r="J593">
            <v>21.514862902360804</v>
          </cell>
          <cell r="K593">
            <v>23.765793951229259</v>
          </cell>
        </row>
        <row r="594">
          <cell r="B594" t="str">
            <v>ITOT-ESOLPV</v>
          </cell>
          <cell r="C594" t="str">
            <v>VAR_fin</v>
          </cell>
          <cell r="D594" t="str">
            <v>SOL</v>
          </cell>
          <cell r="I594">
            <v>20.470652173476445</v>
          </cell>
          <cell r="J594">
            <v>21.514862902360804</v>
          </cell>
          <cell r="K594">
            <v>23.765793951229259</v>
          </cell>
        </row>
        <row r="595">
          <cell r="B595" t="str">
            <v>ITOT-ESOLPV</v>
          </cell>
          <cell r="C595" t="str">
            <v>VAR_fin</v>
          </cell>
          <cell r="D595" t="str">
            <v>SOLPVC</v>
          </cell>
          <cell r="I595">
            <v>20.470652173476399</v>
          </cell>
          <cell r="J595">
            <v>21.5148629023608</v>
          </cell>
          <cell r="K595">
            <v>23.765793951229298</v>
          </cell>
        </row>
        <row r="596">
          <cell r="B596" t="str">
            <v>ITOT-ESOLPV</v>
          </cell>
          <cell r="C596" t="str">
            <v>VAR_ncap</v>
          </cell>
          <cell r="D596" t="str">
            <v>-</v>
          </cell>
          <cell r="I596">
            <v>0.79878976482077102</v>
          </cell>
          <cell r="J596">
            <v>1.0134458509970701</v>
          </cell>
          <cell r="K596">
            <v>4.6491115143560302</v>
          </cell>
        </row>
        <row r="597">
          <cell r="B597" t="str">
            <v>ITOT-ESOLPV</v>
          </cell>
          <cell r="C597" t="str">
            <v>VAR_cap</v>
          </cell>
          <cell r="D597" t="str">
            <v>-</v>
          </cell>
          <cell r="I597">
            <v>5.9010928878556204</v>
          </cell>
          <cell r="J597">
            <v>6.2021085155878763</v>
          </cell>
          <cell r="K597">
            <v>6.85098596574095</v>
          </cell>
        </row>
        <row r="598">
          <cell r="B598" t="str">
            <v>RHNS-CHPNGA</v>
          </cell>
          <cell r="C598" t="str">
            <v>VAR_fout</v>
          </cell>
          <cell r="D598" t="str">
            <v>CO2_R</v>
          </cell>
          <cell r="I598">
            <v>4.6618391041642102</v>
          </cell>
          <cell r="J598">
            <v>2.4560884473992401</v>
          </cell>
        </row>
        <row r="599">
          <cell r="B599" t="str">
            <v>RHNS-CHPNGA</v>
          </cell>
          <cell r="C599" t="str">
            <v>VAR_fout</v>
          </cell>
          <cell r="D599" t="str">
            <v>RHNS_LTH_CHPNGA</v>
          </cell>
          <cell r="I599">
            <v>5.2087272782213603E-2</v>
          </cell>
          <cell r="J599">
            <v>2.6769716948016803E-2</v>
          </cell>
        </row>
        <row r="600">
          <cell r="B600" t="str">
            <v>RHNS-CHPNGA</v>
          </cell>
          <cell r="C600" t="str">
            <v>VAR_fout</v>
          </cell>
          <cell r="D600" t="str">
            <v>RHNS_NKEV_GAS_ELC_CHP</v>
          </cell>
          <cell r="I600">
            <v>2.2989847168255768E-2</v>
          </cell>
          <cell r="J600">
            <v>1.1920889578413725E-2</v>
          </cell>
        </row>
        <row r="601">
          <cell r="B601" t="str">
            <v>RHNS-CHPNGA</v>
          </cell>
          <cell r="C601" t="str">
            <v>VAR_fin</v>
          </cell>
          <cell r="D601" t="str">
            <v>RNGA</v>
          </cell>
          <cell r="I601">
            <v>8.2656721705039238E-2</v>
          </cell>
          <cell r="J601">
            <v>4.3547667507078724E-2</v>
          </cell>
        </row>
        <row r="602">
          <cell r="B602" t="str">
            <v>RHNS-CHPNGA</v>
          </cell>
          <cell r="C602" t="str">
            <v>VAR_ncap</v>
          </cell>
          <cell r="D602" t="str">
            <v>-</v>
          </cell>
        </row>
        <row r="603">
          <cell r="B603" t="str">
            <v>RHNS-CHPNGA</v>
          </cell>
          <cell r="C603" t="str">
            <v>VAR_cap</v>
          </cell>
          <cell r="D603" t="str">
            <v>-</v>
          </cell>
          <cell r="I603">
            <v>2.0435076761358599E-3</v>
          </cell>
          <cell r="J603">
            <v>1.0595812005983599E-3</v>
          </cell>
        </row>
        <row r="604">
          <cell r="B604" t="str">
            <v>ENUC_BEZ</v>
          </cell>
          <cell r="C604" t="str">
            <v>VAR_fout</v>
          </cell>
          <cell r="D604" t="str">
            <v>ELC</v>
          </cell>
        </row>
        <row r="605">
          <cell r="B605" t="str">
            <v>ENUC_BEZ</v>
          </cell>
          <cell r="C605" t="str">
            <v>VAR_fin</v>
          </cell>
          <cell r="D605" t="str">
            <v>URN</v>
          </cell>
        </row>
        <row r="606">
          <cell r="B606" t="str">
            <v>ENUC_BEZ</v>
          </cell>
          <cell r="C606" t="str">
            <v>VAR_cap</v>
          </cell>
          <cell r="D606" t="str">
            <v>-</v>
          </cell>
        </row>
        <row r="607">
          <cell r="B607" t="str">
            <v>RHNM-CHPWOD</v>
          </cell>
          <cell r="C607" t="str">
            <v>VAR_fout</v>
          </cell>
          <cell r="D607" t="str">
            <v>RHNM_LTH_CHPWOD</v>
          </cell>
          <cell r="I607">
            <v>0.15346716505930599</v>
          </cell>
          <cell r="J607">
            <v>0.15203671895726281</v>
          </cell>
          <cell r="K607">
            <v>4.1772422662964661E-3</v>
          </cell>
        </row>
        <row r="608">
          <cell r="B608" t="str">
            <v>RHNM-CHPWOD</v>
          </cell>
          <cell r="C608" t="str">
            <v>VAR_fout</v>
          </cell>
          <cell r="D608" t="str">
            <v>RHNM_KEV_WOD_ELC_CHP</v>
          </cell>
          <cell r="I608">
            <v>5.769228612414648E-2</v>
          </cell>
          <cell r="J608">
            <v>5.7154544348748719E-2</v>
          </cell>
          <cell r="K608">
            <v>1.570333666774411E-3</v>
          </cell>
        </row>
        <row r="609">
          <cell r="B609" t="str">
            <v>RHNM-CHPWOD</v>
          </cell>
          <cell r="C609" t="str">
            <v>VAR_fin</v>
          </cell>
          <cell r="D609" t="str">
            <v>RWOD</v>
          </cell>
          <cell r="I609">
            <v>0.21468427076954302</v>
          </cell>
          <cell r="J609">
            <v>0.20886384940754468</v>
          </cell>
          <cell r="K609">
            <v>5.9041128648899596E-3</v>
          </cell>
        </row>
        <row r="610">
          <cell r="B610" t="str">
            <v>RHNM-CHPWOD</v>
          </cell>
          <cell r="C610" t="str">
            <v>VAR_ncap</v>
          </cell>
          <cell r="D610" t="str">
            <v>-</v>
          </cell>
          <cell r="I610">
            <v>4.1484335635932797E-3</v>
          </cell>
          <cell r="J610">
            <v>2.0407830169665902E-6</v>
          </cell>
          <cell r="K610">
            <v>2.2565943129729298E-6</v>
          </cell>
        </row>
        <row r="611">
          <cell r="B611" t="str">
            <v>RHNM-CHPWOD</v>
          </cell>
          <cell r="C611" t="str">
            <v>VAR_cap</v>
          </cell>
          <cell r="D611" t="str">
            <v>-</v>
          </cell>
          <cell r="I611">
            <v>4.2811440099853283E-3</v>
          </cell>
          <cell r="J611">
            <v>4.2410734023195628E-3</v>
          </cell>
          <cell r="K611">
            <v>1.1673994313766002E-4</v>
          </cell>
        </row>
        <row r="612">
          <cell r="B612" t="str">
            <v>RHNM-SHSTG-CHPNGA</v>
          </cell>
          <cell r="C612" t="str">
            <v>VAR_fout</v>
          </cell>
          <cell r="D612" t="str">
            <v>AUX_RNM-CHPNGA_OUT</v>
          </cell>
          <cell r="I612">
            <v>1.0027080748055142E-3</v>
          </cell>
          <cell r="J612">
            <v>4.9839065782422984E-3</v>
          </cell>
          <cell r="K612">
            <v>1.2808732134965165E-4</v>
          </cell>
        </row>
        <row r="613">
          <cell r="B613" t="str">
            <v>RHNM-SHSTG-CHPNGA</v>
          </cell>
          <cell r="C613" t="str">
            <v>VAR_fout</v>
          </cell>
          <cell r="D613" t="str">
            <v>RHNM_LTH_CHPNGA</v>
          </cell>
          <cell r="I613">
            <v>1.0036296814919148E-3</v>
          </cell>
          <cell r="J613">
            <v>4.9839065782422707E-3</v>
          </cell>
          <cell r="K613">
            <v>1.2808732134965157E-4</v>
          </cell>
        </row>
        <row r="614">
          <cell r="B614" t="str">
            <v>RHNM-SHSTG-CHPNGA</v>
          </cell>
          <cell r="C614" t="str">
            <v>VAR_fin</v>
          </cell>
          <cell r="D614" t="str">
            <v>AUX_RNM-CHPNGA_IN</v>
          </cell>
          <cell r="I614">
            <v>1.2185636505504731E-3</v>
          </cell>
          <cell r="J614">
            <v>5.8646075768337014E-3</v>
          </cell>
          <cell r="K614">
            <v>1.1193693182743854E-4</v>
          </cell>
        </row>
        <row r="615">
          <cell r="B615" t="str">
            <v>RHNM-SHSTG-CHPNGA</v>
          </cell>
          <cell r="C615" t="str">
            <v>VAR_fin</v>
          </cell>
          <cell r="D615" t="str">
            <v>RHNM_LTH_CHPNGA</v>
          </cell>
          <cell r="I615">
            <v>1.2185636505504731E-3</v>
          </cell>
          <cell r="J615">
            <v>5.8646075768337014E-3</v>
          </cell>
          <cell r="K615">
            <v>1.1193693182743854E-4</v>
          </cell>
        </row>
        <row r="616">
          <cell r="B616" t="str">
            <v>RHNM-SHSTG-CHPNGA</v>
          </cell>
          <cell r="C616" t="str">
            <v>VAR_ncap</v>
          </cell>
          <cell r="D616" t="str">
            <v>-</v>
          </cell>
          <cell r="I616">
            <v>2.58912659287163E-3</v>
          </cell>
          <cell r="J616">
            <v>4.9196022166799499E-4</v>
          </cell>
          <cell r="K616">
            <v>1.12126865933333E-5</v>
          </cell>
        </row>
        <row r="617">
          <cell r="B617" t="str">
            <v>RHNM-SHSTG-CHPNGA</v>
          </cell>
          <cell r="C617" t="str">
            <v>VAR_cap</v>
          </cell>
          <cell r="D617" t="str">
            <v>-</v>
          </cell>
          <cell r="I617">
            <v>3.2014847515349338E-3</v>
          </cell>
          <cell r="J617">
            <v>3.0904903973200436E-3</v>
          </cell>
          <cell r="K617">
            <v>1.306799180670162E-3</v>
          </cell>
        </row>
        <row r="618">
          <cell r="B618" t="str">
            <v>CT_CWODBDS</v>
          </cell>
          <cell r="C618" t="str">
            <v>VAR_fout</v>
          </cell>
          <cell r="D618" t="str">
            <v>BDS</v>
          </cell>
          <cell r="I618">
            <v>6.0078902008714536E-5</v>
          </cell>
          <cell r="J618">
            <v>7.1937916567947028E-5</v>
          </cell>
          <cell r="K618">
            <v>1.2734224388358151</v>
          </cell>
        </row>
        <row r="619">
          <cell r="B619" t="str">
            <v>CT_CWODBDS</v>
          </cell>
          <cell r="C619" t="str">
            <v>VAR_fout</v>
          </cell>
          <cell r="D619" t="str">
            <v>LTH</v>
          </cell>
          <cell r="I619">
            <v>2.3430771783398632E-5</v>
          </cell>
          <cell r="J619">
            <v>2.8055787461499326E-5</v>
          </cell>
          <cell r="K619">
            <v>0.49663475114596767</v>
          </cell>
        </row>
        <row r="620">
          <cell r="B620" t="str">
            <v>CT_CWODBDS</v>
          </cell>
          <cell r="C620" t="str">
            <v>VAR_fin</v>
          </cell>
          <cell r="D620" t="str">
            <v>CWOD</v>
          </cell>
          <cell r="I620">
            <v>1.7119483127383181E-4</v>
          </cell>
          <cell r="J620">
            <v>2.0498709326036512E-4</v>
          </cell>
          <cell r="K620">
            <v>3.6286172394626566</v>
          </cell>
        </row>
        <row r="621">
          <cell r="B621" t="str">
            <v>CT_CWODBDS</v>
          </cell>
          <cell r="C621" t="str">
            <v>VAR_fin</v>
          </cell>
          <cell r="D621" t="str">
            <v>CELC</v>
          </cell>
          <cell r="I621">
            <v>4.175483689605657E-6</v>
          </cell>
          <cell r="J621">
            <v>4.999685201472318E-6</v>
          </cell>
          <cell r="K621">
            <v>8.8502859499089134E-2</v>
          </cell>
        </row>
        <row r="622">
          <cell r="B622" t="str">
            <v>CT_CWODBDS</v>
          </cell>
          <cell r="C622" t="str">
            <v>VAR_ncap</v>
          </cell>
          <cell r="D622" t="str">
            <v>-</v>
          </cell>
          <cell r="I622">
            <v>1.11798049638201E-5</v>
          </cell>
          <cell r="J622">
            <v>5.7063416901873401E-6</v>
          </cell>
          <cell r="K622">
            <v>6.6018776548627506E-2</v>
          </cell>
        </row>
        <row r="623">
          <cell r="B623" t="str">
            <v>CT_CWODBDS</v>
          </cell>
          <cell r="C623" t="str">
            <v>VAR_cap</v>
          </cell>
          <cell r="D623" t="str">
            <v>-</v>
          </cell>
          <cell r="I623">
            <v>1.9139095041594001E-5</v>
          </cell>
          <cell r="J623">
            <v>1.6953376811648732E-5</v>
          </cell>
          <cell r="K623">
            <v>6.6033224232516799E-2</v>
          </cell>
        </row>
        <row r="624">
          <cell r="B624" t="str">
            <v>RHNS-EBAT</v>
          </cell>
          <cell r="C624" t="str">
            <v>VAR_fout</v>
          </cell>
          <cell r="D624" t="str">
            <v>RHNS_ELC</v>
          </cell>
          <cell r="I624">
            <v>0.2540222147361505</v>
          </cell>
          <cell r="J624">
            <v>8.4662875927853432E-2</v>
          </cell>
          <cell r="K624">
            <v>0.58673694553898148</v>
          </cell>
        </row>
        <row r="625">
          <cell r="B625" t="str">
            <v>RHNS-EBAT</v>
          </cell>
          <cell r="C625" t="str">
            <v>VAR_fout</v>
          </cell>
          <cell r="D625" t="str">
            <v>AUX_RHNS-EBAT_OUT</v>
          </cell>
          <cell r="I625">
            <v>0.25402221473615061</v>
          </cell>
          <cell r="J625">
            <v>8.4662875927853487E-2</v>
          </cell>
          <cell r="K625">
            <v>0.58673694553898192</v>
          </cell>
        </row>
        <row r="626">
          <cell r="B626" t="str">
            <v>RHNS-EBAT</v>
          </cell>
          <cell r="C626" t="str">
            <v>VAR_fin</v>
          </cell>
          <cell r="D626" t="str">
            <v>RHNS_ELC</v>
          </cell>
          <cell r="I626">
            <v>0.28091449721917777</v>
          </cell>
          <cell r="J626">
            <v>9.3625890834096961E-2</v>
          </cell>
          <cell r="K626">
            <v>0.64885189228208096</v>
          </cell>
        </row>
        <row r="627">
          <cell r="B627" t="str">
            <v>RHNS-EBAT</v>
          </cell>
          <cell r="C627" t="str">
            <v>VAR_fin</v>
          </cell>
          <cell r="D627" t="str">
            <v>AUX_RHNS-EBAT_IN</v>
          </cell>
          <cell r="I627">
            <v>0.28091449721917777</v>
          </cell>
          <cell r="J627">
            <v>9.3625890834096961E-2</v>
          </cell>
          <cell r="K627">
            <v>0.64885189228208096</v>
          </cell>
        </row>
        <row r="628">
          <cell r="B628" t="str">
            <v>RHNS-EBAT</v>
          </cell>
          <cell r="C628" t="str">
            <v>VAR_ncap</v>
          </cell>
          <cell r="D628" t="str">
            <v>-</v>
          </cell>
          <cell r="I628">
            <v>6.1404891948139001E-2</v>
          </cell>
          <cell r="J628">
            <v>0.122335522056517</v>
          </cell>
          <cell r="K628">
            <v>0.168190681487001</v>
          </cell>
        </row>
        <row r="629">
          <cell r="B629" t="str">
            <v>RHNS-EBAT</v>
          </cell>
          <cell r="C629" t="str">
            <v>VAR_cap</v>
          </cell>
          <cell r="D629" t="str">
            <v>-</v>
          </cell>
          <cell r="I629">
            <v>0.18048655932393162</v>
          </cell>
          <cell r="J629">
            <v>0.19621380593895513</v>
          </cell>
          <cell r="K629">
            <v>0.24031826247376747</v>
          </cell>
        </row>
        <row r="630">
          <cell r="B630" t="str">
            <v>G-INTC-EXP00-AT</v>
          </cell>
          <cell r="C630" t="str">
            <v>VAR_fout</v>
          </cell>
          <cell r="D630" t="str">
            <v>ELC_E-AT</v>
          </cell>
          <cell r="I630">
            <v>1.5817253206116668E-4</v>
          </cell>
          <cell r="J630">
            <v>1.5863187837719632E-4</v>
          </cell>
          <cell r="K630">
            <v>1.0061548644319375E-4</v>
          </cell>
        </row>
        <row r="631">
          <cell r="B631" t="str">
            <v>G-INTC-EXP00-AT</v>
          </cell>
          <cell r="C631" t="str">
            <v>VAR_fin</v>
          </cell>
          <cell r="D631" t="str">
            <v>ELC</v>
          </cell>
          <cell r="I631">
            <v>1.5817253206116668E-4</v>
          </cell>
          <cell r="J631">
            <v>1.5863187837719632E-4</v>
          </cell>
          <cell r="K631">
            <v>1.0061548644319375E-4</v>
          </cell>
        </row>
        <row r="632">
          <cell r="B632" t="str">
            <v>G-INTC-EXP00-AT</v>
          </cell>
          <cell r="C632" t="str">
            <v>VAR_ncap</v>
          </cell>
          <cell r="D632" t="str">
            <v>-</v>
          </cell>
          <cell r="I632">
            <v>3.26894813466196E-7</v>
          </cell>
          <cell r="J632">
            <v>5.9742113594213103E-7</v>
          </cell>
          <cell r="K632">
            <v>1.2228882254950699E-6</v>
          </cell>
        </row>
        <row r="633">
          <cell r="B633" t="str">
            <v>G-INTC-EXP00-AT</v>
          </cell>
          <cell r="C633" t="str">
            <v>VAR_cap</v>
          </cell>
          <cell r="D633" t="str">
            <v>-</v>
          </cell>
          <cell r="I633">
            <v>3.4554218161542138E-4</v>
          </cell>
          <cell r="J633">
            <v>3.4434582127484958E-4</v>
          </cell>
          <cell r="K633">
            <v>3.4537547866420049E-4</v>
          </cell>
        </row>
        <row r="634">
          <cell r="B634" t="str">
            <v>ENUC_LRG_GOE</v>
          </cell>
          <cell r="C634" t="str">
            <v>VAR_fout</v>
          </cell>
          <cell r="D634" t="str">
            <v>LTH</v>
          </cell>
          <cell r="K634">
            <v>2.8532401894318538</v>
          </cell>
        </row>
        <row r="635">
          <cell r="B635" t="str">
            <v>ENUC_LRG_GOE</v>
          </cell>
          <cell r="C635" t="str">
            <v>VAR_fout</v>
          </cell>
          <cell r="D635" t="str">
            <v>ELC</v>
          </cell>
          <cell r="K635">
            <v>28.113027349402422</v>
          </cell>
        </row>
        <row r="636">
          <cell r="B636" t="str">
            <v>ENUC_LRG_GOE</v>
          </cell>
          <cell r="C636" t="str">
            <v>VAR_fin</v>
          </cell>
          <cell r="D636" t="str">
            <v>URN</v>
          </cell>
          <cell r="K636">
            <v>90.464516158229301</v>
          </cell>
        </row>
        <row r="637">
          <cell r="B637" t="str">
            <v>ENUC_LRG_GOE</v>
          </cell>
          <cell r="C637" t="str">
            <v>VAR_ncap</v>
          </cell>
          <cell r="D637" t="str">
            <v>-</v>
          </cell>
          <cell r="J637">
            <v>0.72158501092374405</v>
          </cell>
          <cell r="K637">
            <v>3.1802863092520801</v>
          </cell>
        </row>
        <row r="638">
          <cell r="B638" t="str">
            <v>ENUC_LRG_GOE</v>
          </cell>
          <cell r="C638" t="str">
            <v>VAR_cap</v>
          </cell>
          <cell r="D638" t="str">
            <v>-</v>
          </cell>
          <cell r="K638">
            <v>1.1204692596593999</v>
          </cell>
        </row>
        <row r="639">
          <cell r="B639" t="str">
            <v>G-INTC-IMP00-DE</v>
          </cell>
          <cell r="C639" t="str">
            <v>VAR_fout</v>
          </cell>
          <cell r="D639" t="str">
            <v>ELC</v>
          </cell>
          <cell r="I639">
            <v>36.279054057305885</v>
          </cell>
          <cell r="J639">
            <v>30.074780478639148</v>
          </cell>
          <cell r="K639">
            <v>12.389015032027013</v>
          </cell>
        </row>
        <row r="640">
          <cell r="B640" t="str">
            <v>G-INTC-IMP00-DE</v>
          </cell>
          <cell r="C640" t="str">
            <v>VAR_fin</v>
          </cell>
          <cell r="D640" t="str">
            <v>ELC_I-DE</v>
          </cell>
          <cell r="I640">
            <v>36.279054057305885</v>
          </cell>
          <cell r="J640">
            <v>30.074780478639148</v>
          </cell>
          <cell r="K640">
            <v>12.389015032027013</v>
          </cell>
        </row>
        <row r="641">
          <cell r="B641" t="str">
            <v>G-INTC-IMP00-DE</v>
          </cell>
          <cell r="C641" t="str">
            <v>VAR_ncap</v>
          </cell>
          <cell r="D641" t="str">
            <v>-</v>
          </cell>
          <cell r="I641">
            <v>5.4374514251386698E-7</v>
          </cell>
          <cell r="J641">
            <v>8.4842278118709195E-7</v>
          </cell>
          <cell r="K641">
            <v>1.36061446626145E-6</v>
          </cell>
        </row>
        <row r="642">
          <cell r="B642" t="str">
            <v>G-INTC-IMP00-DE</v>
          </cell>
          <cell r="C642" t="str">
            <v>VAR_cap</v>
          </cell>
          <cell r="D642" t="str">
            <v>-</v>
          </cell>
          <cell r="I642">
            <v>2.3411586852819264</v>
          </cell>
          <cell r="J642">
            <v>2.3411561881337488</v>
          </cell>
          <cell r="K642">
            <v>1.375097282479695</v>
          </cell>
        </row>
        <row r="643">
          <cell r="B643" t="str">
            <v>RHEM-SHSTG-CHPWOD</v>
          </cell>
          <cell r="C643" t="str">
            <v>VAR_fout</v>
          </cell>
          <cell r="D643" t="str">
            <v>AUX_REM-CHPWOD_OUT</v>
          </cell>
          <cell r="I643">
            <v>1.158521848545874E-3</v>
          </cell>
          <cell r="J643">
            <v>6.7533111965837568E-3</v>
          </cell>
          <cell r="K643">
            <v>2.9874459645929364E-3</v>
          </cell>
        </row>
        <row r="644">
          <cell r="B644" t="str">
            <v>RHEM-SHSTG-CHPWOD</v>
          </cell>
          <cell r="C644" t="str">
            <v>VAR_fout</v>
          </cell>
          <cell r="D644" t="str">
            <v>RHEM_LTH_CHPWOD</v>
          </cell>
          <cell r="I644">
            <v>1.1595866664213734E-3</v>
          </cell>
          <cell r="J644">
            <v>6.7533111965837446E-3</v>
          </cell>
          <cell r="K644">
            <v>2.9874459645929325E-3</v>
          </cell>
        </row>
        <row r="645">
          <cell r="B645" t="str">
            <v>RHEM-SHSTG-CHPWOD</v>
          </cell>
          <cell r="C645" t="str">
            <v>VAR_fin</v>
          </cell>
          <cell r="D645" t="str">
            <v>AUX_REM-CHPWOD_IN</v>
          </cell>
          <cell r="I645">
            <v>1.407602420154228E-3</v>
          </cell>
          <cell r="J645">
            <v>7.9462579873051005E-3</v>
          </cell>
          <cell r="K645">
            <v>3.3205884837925136E-3</v>
          </cell>
        </row>
        <row r="646">
          <cell r="B646" t="str">
            <v>RHEM-SHSTG-CHPWOD</v>
          </cell>
          <cell r="C646" t="str">
            <v>VAR_fin</v>
          </cell>
          <cell r="D646" t="str">
            <v>RHEM_LTH_CHPWOD</v>
          </cell>
          <cell r="I646">
            <v>1.407602420154228E-3</v>
          </cell>
          <cell r="J646">
            <v>7.9462579873051005E-3</v>
          </cell>
          <cell r="K646">
            <v>3.3205884837925136E-3</v>
          </cell>
        </row>
        <row r="647">
          <cell r="B647" t="str">
            <v>RHEM-SHSTG-CHPWOD</v>
          </cell>
          <cell r="C647" t="str">
            <v>VAR_ncap</v>
          </cell>
          <cell r="D647" t="str">
            <v>-</v>
          </cell>
          <cell r="I647">
            <v>2.59419957079002E-3</v>
          </cell>
          <cell r="J647">
            <v>1.3135300461184999E-3</v>
          </cell>
          <cell r="K647">
            <v>1.0073115839429601E-4</v>
          </cell>
        </row>
        <row r="648">
          <cell r="B648" t="str">
            <v>RHEM-SHSTG-CHPWOD</v>
          </cell>
          <cell r="C648" t="str">
            <v>VAR_cap</v>
          </cell>
          <cell r="D648" t="str">
            <v>-</v>
          </cell>
          <cell r="I648">
            <v>3.1090711309476552E-3</v>
          </cell>
          <cell r="J648">
            <v>3.9590017906843498E-3</v>
          </cell>
          <cell r="K648">
            <v>2.0999896558943393E-3</v>
          </cell>
        </row>
        <row r="649">
          <cell r="B649" t="str">
            <v>G-INTC-EXP00-FR</v>
          </cell>
          <cell r="C649" t="str">
            <v>VAR_fout</v>
          </cell>
          <cell r="D649" t="str">
            <v>ELC_E-FR</v>
          </cell>
          <cell r="I649">
            <v>5.175774361614575E-4</v>
          </cell>
          <cell r="J649">
            <v>1.7337774922391803E-3</v>
          </cell>
          <cell r="K649">
            <v>1.576933414873983E-3</v>
          </cell>
        </row>
        <row r="650">
          <cell r="B650" t="str">
            <v>G-INTC-EXP00-FR</v>
          </cell>
          <cell r="C650" t="str">
            <v>VAR_fin</v>
          </cell>
          <cell r="D650" t="str">
            <v>ELC</v>
          </cell>
          <cell r="I650">
            <v>5.175774361614575E-4</v>
          </cell>
          <cell r="J650">
            <v>1.7337774922391803E-3</v>
          </cell>
          <cell r="K650">
            <v>1.576933414873983E-3</v>
          </cell>
        </row>
        <row r="651">
          <cell r="B651" t="str">
            <v>G-INTC-EXP00-FR</v>
          </cell>
          <cell r="C651" t="str">
            <v>VAR_ncap</v>
          </cell>
          <cell r="D651" t="str">
            <v>-</v>
          </cell>
          <cell r="I651">
            <v>5.34897981765476E-7</v>
          </cell>
          <cell r="J651">
            <v>8.5128166315512496E-7</v>
          </cell>
          <cell r="K651">
            <v>1.3894478851142101E-6</v>
          </cell>
        </row>
        <row r="652">
          <cell r="B652" t="str">
            <v>G-INTC-EXP00-FR</v>
          </cell>
          <cell r="C652" t="str">
            <v>VAR_cap</v>
          </cell>
          <cell r="D652" t="str">
            <v>-</v>
          </cell>
          <cell r="I652">
            <v>1.0544633834381756E-3</v>
          </cell>
          <cell r="J652">
            <v>1.0542648993003834E-3</v>
          </cell>
          <cell r="K652">
            <v>1.0542011803926776E-3</v>
          </cell>
        </row>
        <row r="653">
          <cell r="B653" t="str">
            <v>RHNM-EBAT</v>
          </cell>
          <cell r="C653" t="str">
            <v>VAR_fout</v>
          </cell>
          <cell r="D653" t="str">
            <v>RHNM_ELC</v>
          </cell>
          <cell r="I653">
            <v>1.8889360247280555E-2</v>
          </cell>
          <cell r="J653">
            <v>9.13388162129165E-3</v>
          </cell>
          <cell r="K653">
            <v>2.4248869338102708E-2</v>
          </cell>
        </row>
        <row r="654">
          <cell r="B654" t="str">
            <v>RHNM-EBAT</v>
          </cell>
          <cell r="C654" t="str">
            <v>VAR_fout</v>
          </cell>
          <cell r="D654" t="str">
            <v>AUX_RHNM-EBAT_OUT</v>
          </cell>
          <cell r="I654">
            <v>1.8889360247280561E-2</v>
          </cell>
          <cell r="J654">
            <v>9.1338816212916587E-3</v>
          </cell>
          <cell r="K654">
            <v>2.4248869338102736E-2</v>
          </cell>
        </row>
        <row r="655">
          <cell r="B655" t="str">
            <v>RHNM-EBAT</v>
          </cell>
          <cell r="C655" t="str">
            <v>VAR_fin</v>
          </cell>
          <cell r="D655" t="str">
            <v>RHNM_ELC</v>
          </cell>
          <cell r="I655">
            <v>2.0889350971880872E-2</v>
          </cell>
          <cell r="J655">
            <v>1.0101037136610034E-2</v>
          </cell>
          <cell r="K655">
            <v>2.6816130441697065E-2</v>
          </cell>
        </row>
        <row r="656">
          <cell r="B656" t="str">
            <v>RHNM-EBAT</v>
          </cell>
          <cell r="C656" t="str">
            <v>VAR_fin</v>
          </cell>
          <cell r="D656" t="str">
            <v>AUX_RHNM-EBAT_IN</v>
          </cell>
          <cell r="I656">
            <v>2.0889350971880872E-2</v>
          </cell>
          <cell r="J656">
            <v>1.0101037136610034E-2</v>
          </cell>
          <cell r="K656">
            <v>2.6816130441697065E-2</v>
          </cell>
        </row>
        <row r="657">
          <cell r="B657" t="str">
            <v>RHNM-EBAT</v>
          </cell>
          <cell r="C657" t="str">
            <v>VAR_ncap</v>
          </cell>
          <cell r="D657" t="str">
            <v>-</v>
          </cell>
          <cell r="I657">
            <v>4.8070235757835698E-3</v>
          </cell>
          <cell r="J657">
            <v>4.7285148161961598E-3</v>
          </cell>
          <cell r="K657">
            <v>6.7188791322732302E-3</v>
          </cell>
        </row>
        <row r="658">
          <cell r="B658" t="str">
            <v>RHNM-EBAT</v>
          </cell>
          <cell r="C658" t="str">
            <v>VAR_cap</v>
          </cell>
          <cell r="D658" t="str">
            <v>-</v>
          </cell>
          <cell r="I658">
            <v>9.0500323383307327E-3</v>
          </cell>
          <cell r="J658">
            <v>9.566185118669468E-3</v>
          </cell>
          <cell r="K658">
            <v>9.9336411351435491E-3</v>
          </cell>
        </row>
        <row r="659">
          <cell r="B659" t="str">
            <v>ITOT-CHPWST</v>
          </cell>
          <cell r="C659" t="str">
            <v>VAR_fout</v>
          </cell>
          <cell r="D659" t="str">
            <v>ITOT_LTH_CHP</v>
          </cell>
          <cell r="I659">
            <v>3.5401615976331049E-3</v>
          </cell>
          <cell r="J659">
            <v>1.5911389113570439E-2</v>
          </cell>
          <cell r="K659">
            <v>4.2452861577010334E-4</v>
          </cell>
        </row>
        <row r="660">
          <cell r="B660" t="str">
            <v>ITOT-CHPWST</v>
          </cell>
          <cell r="C660" t="str">
            <v>VAR_fout</v>
          </cell>
          <cell r="D660" t="str">
            <v>ITOT_KEV_WST_ELC_CHP</v>
          </cell>
          <cell r="I660">
            <v>5.9988151124416161E-4</v>
          </cell>
          <cell r="J660">
            <v>3.1414149673139212E-3</v>
          </cell>
          <cell r="K660">
            <v>1.2514671807831155E-4</v>
          </cell>
        </row>
        <row r="661">
          <cell r="B661" t="str">
            <v>ITOT-CHPWST</v>
          </cell>
          <cell r="C661" t="str">
            <v>VAR_fout</v>
          </cell>
          <cell r="D661" t="str">
            <v>CO2_I</v>
          </cell>
          <cell r="I661">
            <v>0.89828341589091898</v>
          </cell>
          <cell r="J661">
            <v>4.7040639104162301</v>
          </cell>
          <cell r="K661">
            <v>0.18739904347071601</v>
          </cell>
        </row>
        <row r="662">
          <cell r="B662" t="str">
            <v>ITOT-CHPWST</v>
          </cell>
          <cell r="C662" t="str">
            <v>VAR_fin</v>
          </cell>
          <cell r="D662" t="str">
            <v>IWST</v>
          </cell>
          <cell r="I662">
            <v>9.6797781884797249E-3</v>
          </cell>
          <cell r="J662">
            <v>5.0690343862243845E-2</v>
          </cell>
          <cell r="K662">
            <v>2.0193862442965073E-3</v>
          </cell>
        </row>
        <row r="663">
          <cell r="B663" t="str">
            <v>ITOT-CHPWST</v>
          </cell>
          <cell r="C663" t="str">
            <v>VAR_ncap</v>
          </cell>
          <cell r="D663" t="str">
            <v>-</v>
          </cell>
          <cell r="I663">
            <v>2.25761512363162E-7</v>
          </cell>
          <cell r="J663">
            <v>8.6822211143651103E-8</v>
          </cell>
          <cell r="K663">
            <v>4.3346155404429602E-8</v>
          </cell>
        </row>
        <row r="664">
          <cell r="B664" t="str">
            <v>ITOT-CHPWST</v>
          </cell>
          <cell r="C664" t="str">
            <v>VAR_cap</v>
          </cell>
          <cell r="D664" t="str">
            <v>-</v>
          </cell>
          <cell r="I664">
            <v>4.2754566934974647E-3</v>
          </cell>
          <cell r="J664">
            <v>4.2749572859938174E-3</v>
          </cell>
          <cell r="K664">
            <v>3.7413154100832385E-5</v>
          </cell>
        </row>
        <row r="665">
          <cell r="B665" t="str">
            <v>CAES-EBAT</v>
          </cell>
          <cell r="C665" t="str">
            <v>VAR_fout</v>
          </cell>
          <cell r="D665" t="str">
            <v>ELC13</v>
          </cell>
          <cell r="I665">
            <v>6.8305856623667588E-3</v>
          </cell>
          <cell r="J665">
            <v>1.5014752676638416E-3</v>
          </cell>
          <cell r="K665">
            <v>7.6263387712625752E-2</v>
          </cell>
        </row>
        <row r="666">
          <cell r="B666" t="str">
            <v>CAES-EBAT</v>
          </cell>
          <cell r="C666" t="str">
            <v>VAR_fout</v>
          </cell>
          <cell r="D666" t="str">
            <v>AUX_CAES_OUT</v>
          </cell>
          <cell r="I666">
            <v>6.8305856623667536E-3</v>
          </cell>
          <cell r="J666">
            <v>1.5014752676638398E-3</v>
          </cell>
          <cell r="K666">
            <v>7.6263387712625655E-2</v>
          </cell>
        </row>
        <row r="667">
          <cell r="B667" t="str">
            <v>CAES-EBAT</v>
          </cell>
          <cell r="C667" t="str">
            <v>VAR_fin</v>
          </cell>
          <cell r="D667" t="str">
            <v>ELC13</v>
          </cell>
          <cell r="I667">
            <v>9.7586653177973489E-3</v>
          </cell>
          <cell r="J667">
            <v>2.1454938022974612E-3</v>
          </cell>
          <cell r="K667">
            <v>0.10894815698677168</v>
          </cell>
        </row>
        <row r="668">
          <cell r="B668" t="str">
            <v>CAES-EBAT</v>
          </cell>
          <cell r="C668" t="str">
            <v>VAR_fin</v>
          </cell>
          <cell r="D668" t="str">
            <v>AUX_CAES_IN</v>
          </cell>
          <cell r="I668">
            <v>9.7586653177973489E-3</v>
          </cell>
          <cell r="J668">
            <v>2.1454938022974612E-3</v>
          </cell>
          <cell r="K668">
            <v>0.10894815698677168</v>
          </cell>
        </row>
        <row r="669">
          <cell r="B669" t="str">
            <v>CAES-EBAT</v>
          </cell>
          <cell r="C669" t="str">
            <v>VAR_ncap</v>
          </cell>
          <cell r="D669" t="str">
            <v>-</v>
          </cell>
          <cell r="I669">
            <v>2.20814810419915E-7</v>
          </cell>
          <cell r="J669">
            <v>2.5138423075789502E-7</v>
          </cell>
          <cell r="K669">
            <v>1.70672279593832E-7</v>
          </cell>
        </row>
        <row r="670">
          <cell r="B670" t="str">
            <v>CAES-EBAT</v>
          </cell>
          <cell r="C670" t="str">
            <v>VAR_cap</v>
          </cell>
          <cell r="D670" t="str">
            <v>-</v>
          </cell>
          <cell r="I670">
            <v>8.0701687931357832E-2</v>
          </cell>
          <cell r="J670">
            <v>8.0701658968928891E-2</v>
          </cell>
          <cell r="K670">
            <v>8.0701785422901781E-2</v>
          </cell>
        </row>
        <row r="671">
          <cell r="B671" t="str">
            <v>HPLSOL</v>
          </cell>
          <cell r="C671" t="str">
            <v>VAR_fout</v>
          </cell>
          <cell r="D671" t="str">
            <v>LTH</v>
          </cell>
          <cell r="I671">
            <v>3.4912434833593144E-5</v>
          </cell>
          <cell r="J671">
            <v>3.5017901579064823E-5</v>
          </cell>
          <cell r="K671">
            <v>3.5144497886808402E-5</v>
          </cell>
        </row>
        <row r="672">
          <cell r="B672" t="str">
            <v>HPLSOL</v>
          </cell>
          <cell r="C672" t="str">
            <v>VAR_fin</v>
          </cell>
          <cell r="D672" t="str">
            <v>SOL</v>
          </cell>
          <cell r="I672">
            <v>3.4912434833593144E-5</v>
          </cell>
          <cell r="J672">
            <v>3.5017901579064823E-5</v>
          </cell>
          <cell r="K672">
            <v>3.5144497886808402E-5</v>
          </cell>
        </row>
        <row r="673">
          <cell r="B673" t="str">
            <v>HPLSOL</v>
          </cell>
          <cell r="C673" t="str">
            <v>VAR_fin</v>
          </cell>
          <cell r="D673" t="str">
            <v>SOLPVC</v>
          </cell>
          <cell r="I673">
            <v>3.4912434833593097E-5</v>
          </cell>
          <cell r="J673">
            <v>3.5017901579064803E-5</v>
          </cell>
          <cell r="K673">
            <v>3.5144497886808402E-5</v>
          </cell>
        </row>
        <row r="674">
          <cell r="B674" t="str">
            <v>HPLSOL</v>
          </cell>
          <cell r="C674" t="str">
            <v>VAR_ncap</v>
          </cell>
          <cell r="D674" t="str">
            <v>-</v>
          </cell>
          <cell r="I674">
            <v>8.4695085574430704E-7</v>
          </cell>
          <cell r="J674">
            <v>1.9544183307963E-7</v>
          </cell>
          <cell r="K674">
            <v>3.9724357983834001E-6</v>
          </cell>
        </row>
        <row r="675">
          <cell r="B675" t="str">
            <v>HPLSOL</v>
          </cell>
          <cell r="C675" t="str">
            <v>VAR_cap</v>
          </cell>
          <cell r="D675" t="str">
            <v>-</v>
          </cell>
          <cell r="I675">
            <v>8.4079896657202506E-6</v>
          </cell>
          <cell r="J675">
            <v>8.6034314987998805E-6</v>
          </cell>
          <cell r="K675">
            <v>6.8089214750758097E-6</v>
          </cell>
        </row>
        <row r="676">
          <cell r="B676" t="str">
            <v>RHEM-CHPNGA</v>
          </cell>
          <cell r="C676" t="str">
            <v>VAR_fout</v>
          </cell>
          <cell r="D676" t="str">
            <v>CO2_R</v>
          </cell>
          <cell r="I676">
            <v>44.800664367102101</v>
          </cell>
          <cell r="J676">
            <v>19.7304259483309</v>
          </cell>
        </row>
        <row r="677">
          <cell r="B677" t="str">
            <v>RHEM-CHPNGA</v>
          </cell>
          <cell r="C677" t="str">
            <v>VAR_fout</v>
          </cell>
          <cell r="D677" t="str">
            <v>RHEM_LTH_CHPNGA</v>
          </cell>
          <cell r="I677">
            <v>0.48878224465468267</v>
          </cell>
          <cell r="J677">
            <v>0.21365660674890891</v>
          </cell>
        </row>
        <row r="678">
          <cell r="B678" t="str">
            <v>RHEM-CHPNGA</v>
          </cell>
          <cell r="C678" t="str">
            <v>VAR_fout</v>
          </cell>
          <cell r="D678" t="str">
            <v>RHEM_NKEV_GAS_ELC_CHP</v>
          </cell>
          <cell r="I678">
            <v>0.23941956844702034</v>
          </cell>
          <cell r="J678">
            <v>0.10595978058279215</v>
          </cell>
        </row>
        <row r="679">
          <cell r="B679" t="str">
            <v>RHEM-CHPNGA</v>
          </cell>
          <cell r="C679" t="str">
            <v>VAR_fin</v>
          </cell>
          <cell r="D679" t="str">
            <v>RNGA</v>
          </cell>
          <cell r="I679">
            <v>0.79433802069329984</v>
          </cell>
          <cell r="J679">
            <v>0.34983024731083168</v>
          </cell>
        </row>
        <row r="680">
          <cell r="B680" t="str">
            <v>RHEM-CHPNGA</v>
          </cell>
          <cell r="C680" t="str">
            <v>VAR_ncap</v>
          </cell>
          <cell r="D680" t="str">
            <v>-</v>
          </cell>
        </row>
        <row r="681">
          <cell r="B681" t="str">
            <v>RHEM-CHPNGA</v>
          </cell>
          <cell r="C681" t="str">
            <v>VAR_cap</v>
          </cell>
          <cell r="D681" t="str">
            <v>-</v>
          </cell>
          <cell r="I681">
            <v>1.7765545614472866E-2</v>
          </cell>
          <cell r="J681">
            <v>7.8621729473609681E-3</v>
          </cell>
        </row>
        <row r="682">
          <cell r="B682" t="str">
            <v>D-DH2</v>
          </cell>
          <cell r="C682" t="str">
            <v>VAR_fout</v>
          </cell>
          <cell r="D682" t="str">
            <v>H2</v>
          </cell>
          <cell r="I682">
            <v>1.2232337636183395E-5</v>
          </cell>
          <cell r="J682">
            <v>0.91690767255435712</v>
          </cell>
          <cell r="K682">
            <v>0.97014738927690558</v>
          </cell>
        </row>
        <row r="683">
          <cell r="B683" t="str">
            <v>D-DH2</v>
          </cell>
          <cell r="C683" t="str">
            <v>VAR_fin</v>
          </cell>
          <cell r="D683" t="str">
            <v>H2_E</v>
          </cell>
          <cell r="I683">
            <v>1.2355896602205449E-5</v>
          </cell>
          <cell r="J683">
            <v>0.92616936621652246</v>
          </cell>
          <cell r="K683">
            <v>0.97994685785546054</v>
          </cell>
        </row>
        <row r="684">
          <cell r="B684" t="str">
            <v>D-DH2</v>
          </cell>
          <cell r="C684" t="str">
            <v>VAR_ncap</v>
          </cell>
          <cell r="D684" t="str">
            <v>-</v>
          </cell>
          <cell r="I684">
            <v>3.2776264733642498E-5</v>
          </cell>
          <cell r="J684">
            <v>0.123086902924715</v>
          </cell>
          <cell r="K684">
            <v>7.1465763219552498E-3</v>
          </cell>
        </row>
        <row r="685">
          <cell r="B685" t="str">
            <v>D-DH2</v>
          </cell>
          <cell r="C685" t="str">
            <v>VAR_cap</v>
          </cell>
          <cell r="D685" t="str">
            <v>-</v>
          </cell>
          <cell r="I685">
            <v>5.8736982408380003E-5</v>
          </cell>
          <cell r="J685">
            <v>0.123145639907124</v>
          </cell>
          <cell r="K685">
            <v>0.13029221622907899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I686">
            <v>2.9902820040172191</v>
          </cell>
          <cell r="J686">
            <v>2.9557921181245734</v>
          </cell>
          <cell r="K686">
            <v>2.8715708729096066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I687">
            <v>2.9902820040172191</v>
          </cell>
          <cell r="J687">
            <v>2.9557921181245734</v>
          </cell>
          <cell r="K687">
            <v>2.8715708729096066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I688">
            <v>1.164913730188798</v>
          </cell>
          <cell r="J688">
            <v>1.0059103798940845</v>
          </cell>
          <cell r="K688">
            <v>1.0059102474502084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I689">
            <v>1.105942244452869</v>
          </cell>
          <cell r="J689">
            <v>1.1059419488828197</v>
          </cell>
          <cell r="K689">
            <v>1.1059418032682184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I690">
            <v>2.9902820040172191</v>
          </cell>
          <cell r="J690">
            <v>2.9557921181245734</v>
          </cell>
          <cell r="K690">
            <v>2.8715708729096066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I691">
            <v>4.4080910808911702E-2</v>
          </cell>
          <cell r="J691">
            <v>3.1152728746729998E-2</v>
          </cell>
          <cell r="K691">
            <v>4.3490129421288097E-2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I692">
            <v>8.4744932064629491E-2</v>
          </cell>
          <cell r="J692">
            <v>8.4744712035372191E-2</v>
          </cell>
          <cell r="K692">
            <v>8.4744595351576801E-2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I693">
            <v>9.5548782421776574E-4</v>
          </cell>
          <cell r="J693">
            <v>2.6359051309088485E-2</v>
          </cell>
          <cell r="K693">
            <v>1.6537553864413596E-2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I694">
            <v>6.6036687734192774E-4</v>
          </cell>
          <cell r="J694">
            <v>1.6596439713129782E-2</v>
          </cell>
          <cell r="K694">
            <v>9.3473130537990012E-3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I695">
            <v>1.8827446801513738E-3</v>
          </cell>
          <cell r="J695">
            <v>4.8813057979793489E-2</v>
          </cell>
          <cell r="K695">
            <v>2.8760973538131385E-2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I696">
            <v>3.23659185856742E-5</v>
          </cell>
          <cell r="J696">
            <v>1.4705329072127501E-3</v>
          </cell>
          <cell r="K696">
            <v>7.9603929604433293E-6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I697">
            <v>9.9415935528541024E-5</v>
          </cell>
          <cell r="J697">
            <v>1.5486592837301724E-3</v>
          </cell>
          <cell r="K697">
            <v>1.0887171865965317E-3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I698">
            <v>0.25328534115093593</v>
          </cell>
          <cell r="J698">
            <v>8.4495399115910017E-2</v>
          </cell>
          <cell r="K698">
            <v>0.58612230382986008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I699">
            <v>0.25328534115093626</v>
          </cell>
          <cell r="J699">
            <v>8.4495399115910183E-2</v>
          </cell>
          <cell r="K699">
            <v>0.58612230382986064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I700">
            <v>0.28009961466192024</v>
          </cell>
          <cell r="J700">
            <v>9.3440684189700626E-2</v>
          </cell>
          <cell r="K700">
            <v>0.64817218163389467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I701">
            <v>0.28009961466192024</v>
          </cell>
          <cell r="J701">
            <v>9.3440684189700626E-2</v>
          </cell>
          <cell r="K701">
            <v>0.64817218163389467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I702">
            <v>6.1270510298528397E-2</v>
          </cell>
          <cell r="J702">
            <v>0.12236631647632901</v>
          </cell>
          <cell r="K702">
            <v>0.167947075978158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I703">
            <v>0.18003290309369022</v>
          </cell>
          <cell r="J703">
            <v>0.19605667034356616</v>
          </cell>
          <cell r="K703">
            <v>0.24006651807766857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I704">
            <v>579.59181461931701</v>
          </cell>
          <cell r="J704">
            <v>373.431493375093</v>
          </cell>
          <cell r="K704">
            <v>2.1127145724185E-2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  <cell r="I705">
            <v>0.38279572770439224</v>
          </cell>
          <cell r="J705">
            <v>0.28591475058406557</v>
          </cell>
          <cell r="K705">
            <v>8.5010535855559663E-2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I706">
            <v>12.993509467738402</v>
          </cell>
          <cell r="J706">
            <v>9.3501157618188717</v>
          </cell>
          <cell r="K706">
            <v>2.7510776705908873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I707">
            <v>10.276450613817683</v>
          </cell>
          <cell r="J707">
            <v>6.6211257690619369</v>
          </cell>
          <cell r="K707">
            <v>3.745947823437067E-4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I708">
            <v>2.7598398051972581</v>
          </cell>
          <cell r="J708">
            <v>2.7598409430056039</v>
          </cell>
          <cell r="K708">
            <v>2.7598429483506042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  <cell r="I709">
            <v>0.38279517288004872</v>
          </cell>
          <cell r="J709">
            <v>0.28591475058392463</v>
          </cell>
          <cell r="K709">
            <v>8.5005491379132589E-2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I710">
            <v>8.8900400826438504E-7</v>
          </cell>
          <cell r="J710">
            <v>1.4207084301311E-6</v>
          </cell>
          <cell r="K710">
            <v>4.36866673789399E-6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I711">
            <v>1.9844861497790611</v>
          </cell>
          <cell r="J711">
            <v>1.9844875704874914</v>
          </cell>
          <cell r="K711">
            <v>1.0954680063340492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I712">
            <v>0.88003344024312191</v>
          </cell>
          <cell r="J712">
            <v>0.88004543002501978</v>
          </cell>
          <cell r="K712">
            <v>0.8800469901406538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I713">
            <v>0.88003344024312191</v>
          </cell>
          <cell r="J713">
            <v>0.88004543002501978</v>
          </cell>
          <cell r="K713">
            <v>0.8800469901406538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I714">
            <v>2.2848608545031301E-2</v>
          </cell>
          <cell r="J714">
            <v>1.33583295975872E-6</v>
          </cell>
          <cell r="K714">
            <v>0.126194125107462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I715">
            <v>0.1463140263936088</v>
          </cell>
          <cell r="J715">
            <v>0.14631625632928169</v>
          </cell>
          <cell r="K715">
            <v>0.146316542619427</v>
          </cell>
        </row>
        <row r="716">
          <cell r="B716" t="str">
            <v>EGEO</v>
          </cell>
          <cell r="C716" t="str">
            <v>VAR_fout</v>
          </cell>
          <cell r="D716" t="str">
            <v>ELC35</v>
          </cell>
          <cell r="J716">
            <v>6.48242355624856E-4</v>
          </cell>
          <cell r="K716">
            <v>3.1040457768690697E-3</v>
          </cell>
        </row>
        <row r="717">
          <cell r="B717" t="str">
            <v>EGEO</v>
          </cell>
          <cell r="C717" t="str">
            <v>VAR_fin</v>
          </cell>
          <cell r="D717" t="str">
            <v>GEO</v>
          </cell>
          <cell r="J717">
            <v>4.321615704165711E-3</v>
          </cell>
          <cell r="K717">
            <v>2.0693638512460463E-2</v>
          </cell>
        </row>
        <row r="718">
          <cell r="B718" t="str">
            <v>EGEO</v>
          </cell>
          <cell r="C718" t="str">
            <v>VAR_ncap</v>
          </cell>
          <cell r="D718" t="str">
            <v>-</v>
          </cell>
          <cell r="J718">
            <v>1.64319793747527E-4</v>
          </cell>
          <cell r="K718">
            <v>4.23792237836807E-8</v>
          </cell>
        </row>
        <row r="719">
          <cell r="B719" t="str">
            <v>EGEO</v>
          </cell>
          <cell r="C719" t="str">
            <v>VAR_cap</v>
          </cell>
          <cell r="D719" t="str">
            <v>-</v>
          </cell>
          <cell r="J719">
            <v>2.5724258741765199E-5</v>
          </cell>
          <cell r="K719">
            <v>1.6427454996630446E-4</v>
          </cell>
        </row>
        <row r="720">
          <cell r="B720" t="str">
            <v>D-SPLT</v>
          </cell>
          <cell r="C720" t="str">
            <v>VAR_fout</v>
          </cell>
          <cell r="D720" t="str">
            <v>SPLT</v>
          </cell>
          <cell r="I720">
            <v>1.3468856109455358</v>
          </cell>
          <cell r="J720">
            <v>1.4543391200191005</v>
          </cell>
          <cell r="K720">
            <v>1.2189275656071166</v>
          </cell>
        </row>
        <row r="721">
          <cell r="B721" t="str">
            <v>D-SPLT</v>
          </cell>
          <cell r="C721" t="str">
            <v>VAR_fin</v>
          </cell>
          <cell r="D721" t="str">
            <v>PLT</v>
          </cell>
          <cell r="I721">
            <v>1.3468856109455358</v>
          </cell>
          <cell r="J721">
            <v>1.4543391200191005</v>
          </cell>
          <cell r="K721">
            <v>1.2189275656071166</v>
          </cell>
        </row>
        <row r="722">
          <cell r="B722" t="str">
            <v>RHES-ESOLPV</v>
          </cell>
          <cell r="C722" t="str">
            <v>VAR_fout</v>
          </cell>
          <cell r="D722" t="str">
            <v>RHES_SOL_ELC</v>
          </cell>
          <cell r="I722">
            <v>4.6110896713003875</v>
          </cell>
          <cell r="J722">
            <v>4.8944754993001984</v>
          </cell>
          <cell r="K722">
            <v>5.5145655498384034</v>
          </cell>
        </row>
        <row r="723">
          <cell r="B723" t="str">
            <v>RHES-ESOLPV</v>
          </cell>
          <cell r="C723" t="str">
            <v>VAR_fin</v>
          </cell>
          <cell r="D723" t="str">
            <v>SOL</v>
          </cell>
          <cell r="I723">
            <v>4.6110896713003875</v>
          </cell>
          <cell r="J723">
            <v>4.8944754993001984</v>
          </cell>
          <cell r="K723">
            <v>5.5145655498384034</v>
          </cell>
        </row>
        <row r="724">
          <cell r="B724" t="str">
            <v>RHES-ESOLPV</v>
          </cell>
          <cell r="C724" t="str">
            <v>VAR_fin</v>
          </cell>
          <cell r="D724" t="str">
            <v>SOLPVC</v>
          </cell>
          <cell r="I724">
            <v>4.6110896713003902</v>
          </cell>
          <cell r="J724">
            <v>4.8944754993002002</v>
          </cell>
          <cell r="K724">
            <v>5.5145655498384096</v>
          </cell>
        </row>
        <row r="725">
          <cell r="B725" t="str">
            <v>RHES-ESOLPV</v>
          </cell>
          <cell r="C725" t="str">
            <v>VAR_ncap</v>
          </cell>
          <cell r="D725" t="str">
            <v>-</v>
          </cell>
          <cell r="I725">
            <v>0.29984489594059599</v>
          </cell>
          <cell r="J725">
            <v>0.66479909676740201</v>
          </cell>
          <cell r="K725">
            <v>0.68595402540558403</v>
          </cell>
        </row>
        <row r="726">
          <cell r="B726" t="str">
            <v>RHES-ESOLPV</v>
          </cell>
          <cell r="C726" t="str">
            <v>VAR_cap</v>
          </cell>
          <cell r="D726" t="str">
            <v>-</v>
          </cell>
          <cell r="I726">
            <v>1.3292432973455619</v>
          </cell>
          <cell r="J726">
            <v>1.4109351920326261</v>
          </cell>
          <cell r="K726">
            <v>1.5896888326399901</v>
          </cell>
        </row>
        <row r="727">
          <cell r="B727" t="str">
            <v>SUP_DAC</v>
          </cell>
          <cell r="C727" t="str">
            <v>VAR_fout</v>
          </cell>
          <cell r="D727" t="str">
            <v>CO2_O</v>
          </cell>
          <cell r="J727">
            <v>2.7261136708672776E-3</v>
          </cell>
          <cell r="K727">
            <v>8.8524107315973936E-3</v>
          </cell>
        </row>
        <row r="728">
          <cell r="B728" t="str">
            <v>SUP_DAC</v>
          </cell>
          <cell r="C728" t="str">
            <v>VAR_fout</v>
          </cell>
          <cell r="D728" t="str">
            <v>CO2</v>
          </cell>
          <cell r="J728">
            <v>-2.7261136708672802E-3</v>
          </cell>
          <cell r="K728">
            <v>-8.8524107315974005E-3</v>
          </cell>
        </row>
        <row r="729">
          <cell r="B729" t="str">
            <v>SUP_DAC</v>
          </cell>
          <cell r="C729" t="str">
            <v>VAR_fin</v>
          </cell>
          <cell r="D729" t="str">
            <v>CHEAT</v>
          </cell>
          <cell r="J729">
            <v>1.8126421391865048E-5</v>
          </cell>
          <cell r="K729">
            <v>5.6423234302378218E-5</v>
          </cell>
        </row>
        <row r="730">
          <cell r="B730" t="str">
            <v>SUP_DAC</v>
          </cell>
          <cell r="C730" t="str">
            <v>VAR_fin</v>
          </cell>
          <cell r="D730" t="str">
            <v>CELC</v>
          </cell>
          <cell r="J730">
            <v>3.7802109569359576E-6</v>
          </cell>
          <cell r="K730">
            <v>8.0556937657536382E-6</v>
          </cell>
        </row>
        <row r="731">
          <cell r="B731" t="str">
            <v>SUP_DAC</v>
          </cell>
          <cell r="C731" t="str">
            <v>VAR_ncap</v>
          </cell>
          <cell r="D731" t="str">
            <v>-</v>
          </cell>
          <cell r="J731">
            <v>8.9427519599708601E-4</v>
          </cell>
          <cell r="K731">
            <v>8.8419588591345604E-4</v>
          </cell>
        </row>
        <row r="732">
          <cell r="B732" t="str">
            <v>SUP_DAC</v>
          </cell>
          <cell r="C732" t="str">
            <v>VAR_cap</v>
          </cell>
          <cell r="D732" t="str">
            <v>-</v>
          </cell>
          <cell r="J732">
            <v>8.9427519599708601E-4</v>
          </cell>
          <cell r="K732">
            <v>1.5286488404008189E-3</v>
          </cell>
        </row>
        <row r="733">
          <cell r="B733" t="str">
            <v>EHYD-DAM10</v>
          </cell>
          <cell r="C733" t="str">
            <v>VAR_fout</v>
          </cell>
          <cell r="D733" t="str">
            <v>ELC</v>
          </cell>
          <cell r="I733">
            <v>0.72381256390805604</v>
          </cell>
          <cell r="J733">
            <v>0.73246918634951419</v>
          </cell>
          <cell r="K733">
            <v>0.73459873656271368</v>
          </cell>
        </row>
        <row r="734">
          <cell r="B734" t="str">
            <v>EHYD-DAM10</v>
          </cell>
          <cell r="C734" t="str">
            <v>VAR_fin</v>
          </cell>
          <cell r="D734" t="str">
            <v>HYDD</v>
          </cell>
          <cell r="I734">
            <v>0.72381256390805604</v>
          </cell>
          <cell r="J734">
            <v>0.73246918634951419</v>
          </cell>
          <cell r="K734">
            <v>0.73459873656271368</v>
          </cell>
        </row>
        <row r="735">
          <cell r="B735" t="str">
            <v>EHYD-DAM10</v>
          </cell>
          <cell r="C735" t="str">
            <v>VAR_ncap</v>
          </cell>
          <cell r="D735" t="str">
            <v>-</v>
          </cell>
          <cell r="I735">
            <v>9.7797534500424806E-8</v>
          </cell>
          <cell r="J735">
            <v>1.01296095088275E-7</v>
          </cell>
          <cell r="K735">
            <v>2.19583119540816E-8</v>
          </cell>
        </row>
        <row r="736">
          <cell r="B736" t="str">
            <v>EHYD-DAM10</v>
          </cell>
          <cell r="C736" t="str">
            <v>VAR_cap</v>
          </cell>
          <cell r="D736" t="str">
            <v>-</v>
          </cell>
          <cell r="I736">
            <v>7.5242204640227406E-2</v>
          </cell>
          <cell r="J736">
            <v>7.5242305936322501E-2</v>
          </cell>
          <cell r="K736">
            <v>7.5242327894634503E-2</v>
          </cell>
        </row>
        <row r="737">
          <cell r="B737" t="str">
            <v>DH-EBAT</v>
          </cell>
          <cell r="C737" t="str">
            <v>VAR_fout</v>
          </cell>
          <cell r="D737" t="str">
            <v>ELC35</v>
          </cell>
          <cell r="I737">
            <v>3.7708507291394522E-2</v>
          </cell>
          <cell r="J737">
            <v>3.6502886778297071E-2</v>
          </cell>
          <cell r="K737">
            <v>0.13611507311115018</v>
          </cell>
        </row>
        <row r="738">
          <cell r="B738" t="str">
            <v>DH-EBAT</v>
          </cell>
          <cell r="C738" t="str">
            <v>VAR_fout</v>
          </cell>
          <cell r="D738" t="str">
            <v>AUX_DH-EBAT_OUT</v>
          </cell>
          <cell r="I738">
            <v>3.7708507291394508E-2</v>
          </cell>
          <cell r="J738">
            <v>3.6502886778297064E-2</v>
          </cell>
          <cell r="K738">
            <v>0.13611507311115009</v>
          </cell>
        </row>
        <row r="739">
          <cell r="B739" t="str">
            <v>DH-EBAT</v>
          </cell>
          <cell r="C739" t="str">
            <v>VAR_fin</v>
          </cell>
          <cell r="D739" t="str">
            <v>ELC35</v>
          </cell>
          <cell r="I739">
            <v>4.2167082169166925E-2</v>
          </cell>
          <cell r="J739">
            <v>4.0818753053218859E-2</v>
          </cell>
          <cell r="K739">
            <v>0.15220820281891334</v>
          </cell>
        </row>
        <row r="740">
          <cell r="B740" t="str">
            <v>DH-EBAT</v>
          </cell>
          <cell r="C740" t="str">
            <v>VAR_fin</v>
          </cell>
          <cell r="D740" t="str">
            <v>AUX_DH-EBAT_IN</v>
          </cell>
          <cell r="I740">
            <v>4.2167082169166925E-2</v>
          </cell>
          <cell r="J740">
            <v>4.0818753053218859E-2</v>
          </cell>
          <cell r="K740">
            <v>0.15220820281891334</v>
          </cell>
        </row>
        <row r="741">
          <cell r="B741" t="str">
            <v>DH-EBAT</v>
          </cell>
          <cell r="C741" t="str">
            <v>VAR_ncap</v>
          </cell>
          <cell r="D741" t="str">
            <v>-</v>
          </cell>
          <cell r="I741">
            <v>8.6096602938541995E-3</v>
          </cell>
          <cell r="J741">
            <v>1.7337563960777399E-2</v>
          </cell>
          <cell r="K741">
            <v>1.6535310471747899E-2</v>
          </cell>
        </row>
        <row r="742">
          <cell r="B742" t="str">
            <v>DH-EBAT</v>
          </cell>
          <cell r="C742" t="str">
            <v>VAR_cap</v>
          </cell>
          <cell r="D742" t="str">
            <v>-</v>
          </cell>
          <cell r="I742">
            <v>1.4914743549355099E-2</v>
          </cell>
          <cell r="J742">
            <v>2.6739834749886969E-2</v>
          </cell>
          <cell r="K742">
            <v>2.674077142267986E-2</v>
          </cell>
        </row>
        <row r="743">
          <cell r="B743" t="str">
            <v>RHEM-EBAT</v>
          </cell>
          <cell r="C743" t="str">
            <v>VAR_fout</v>
          </cell>
          <cell r="D743" t="str">
            <v>RHEM_ELC</v>
          </cell>
          <cell r="I743">
            <v>1.9124879552520121E-2</v>
          </cell>
          <cell r="J743">
            <v>9.6253356070298383E-3</v>
          </cell>
          <cell r="K743">
            <v>3.4289721055457717E-2</v>
          </cell>
        </row>
        <row r="744">
          <cell r="B744" t="str">
            <v>RHEM-EBAT</v>
          </cell>
          <cell r="C744" t="str">
            <v>VAR_fout</v>
          </cell>
          <cell r="D744" t="str">
            <v>AUX_RHEM-EBAT_OUT</v>
          </cell>
          <cell r="I744">
            <v>1.9124879552520131E-2</v>
          </cell>
          <cell r="J744">
            <v>9.625335607029847E-3</v>
          </cell>
          <cell r="K744">
            <v>3.4289721055457738E-2</v>
          </cell>
        </row>
        <row r="745">
          <cell r="B745" t="str">
            <v>RHEM-EBAT</v>
          </cell>
          <cell r="C745" t="str">
            <v>VAR_fin</v>
          </cell>
          <cell r="D745" t="str">
            <v>RHEM_ELC</v>
          </cell>
          <cell r="I745">
            <v>2.1149803480408926E-2</v>
          </cell>
          <cell r="J745">
            <v>1.0644518942746199E-2</v>
          </cell>
          <cell r="K745">
            <v>3.7919954888891071E-2</v>
          </cell>
        </row>
        <row r="746">
          <cell r="B746" t="str">
            <v>RHEM-EBAT</v>
          </cell>
          <cell r="C746" t="str">
            <v>VAR_fin</v>
          </cell>
          <cell r="D746" t="str">
            <v>AUX_RHEM-EBAT_IN</v>
          </cell>
          <cell r="I746">
            <v>2.1149803480408926E-2</v>
          </cell>
          <cell r="J746">
            <v>1.0644518942746199E-2</v>
          </cell>
          <cell r="K746">
            <v>3.7919954888891071E-2</v>
          </cell>
        </row>
        <row r="747">
          <cell r="B747" t="str">
            <v>RHEM-EBAT</v>
          </cell>
          <cell r="C747" t="str">
            <v>VAR_ncap</v>
          </cell>
          <cell r="D747" t="str">
            <v>-</v>
          </cell>
          <cell r="I747">
            <v>4.9198507550859303E-3</v>
          </cell>
          <cell r="J747">
            <v>5.2495509055389602E-3</v>
          </cell>
          <cell r="K747">
            <v>1.05503265020159E-2</v>
          </cell>
        </row>
        <row r="748">
          <cell r="B748" t="str">
            <v>RHEM-EBAT</v>
          </cell>
          <cell r="C748" t="str">
            <v>VAR_cap</v>
          </cell>
          <cell r="D748" t="str">
            <v>-</v>
          </cell>
          <cell r="I748">
            <v>9.1779023113968527E-3</v>
          </cell>
          <cell r="J748">
            <v>1.0200248738850136E-2</v>
          </cell>
          <cell r="K748">
            <v>1.4046190748150639E-2</v>
          </cell>
        </row>
        <row r="749">
          <cell r="B749" t="str">
            <v>HPLGEO</v>
          </cell>
          <cell r="C749" t="str">
            <v>VAR_fout</v>
          </cell>
          <cell r="D749" t="str">
            <v>LTH</v>
          </cell>
          <cell r="J749">
            <v>6.6951772686630028E-5</v>
          </cell>
          <cell r="K749">
            <v>6.7353751252782168E-5</v>
          </cell>
        </row>
        <row r="750">
          <cell r="B750" t="str">
            <v>HPLGEO</v>
          </cell>
          <cell r="C750" t="str">
            <v>VAR_fin</v>
          </cell>
          <cell r="D750" t="str">
            <v>GEO</v>
          </cell>
          <cell r="J750">
            <v>7.8766791396035345E-5</v>
          </cell>
          <cell r="K750">
            <v>7.9239707356214351E-5</v>
          </cell>
        </row>
        <row r="751">
          <cell r="B751" t="str">
            <v>HPLGEO</v>
          </cell>
          <cell r="C751" t="str">
            <v>VAR_ncap</v>
          </cell>
          <cell r="D751" t="str">
            <v>-</v>
          </cell>
          <cell r="J751">
            <v>6.1442482633276101E-6</v>
          </cell>
          <cell r="K751">
            <v>1.1557794310579E-7</v>
          </cell>
        </row>
        <row r="752">
          <cell r="B752" t="str">
            <v>HPLGEO</v>
          </cell>
          <cell r="C752" t="str">
            <v>VAR_cap</v>
          </cell>
          <cell r="D752" t="str">
            <v>-</v>
          </cell>
          <cell r="J752">
            <v>6.1442482633276101E-6</v>
          </cell>
          <cell r="K752">
            <v>6.2598262064333998E-6</v>
          </cell>
        </row>
        <row r="753">
          <cell r="B753" t="str">
            <v>EHYD-PUM15</v>
          </cell>
          <cell r="C753" t="str">
            <v>VAR_fout</v>
          </cell>
          <cell r="D753" t="str">
            <v>ELC</v>
          </cell>
          <cell r="I753">
            <v>1.7162958379796033E-3</v>
          </cell>
          <cell r="J753">
            <v>1.510864578233542E-3</v>
          </cell>
          <cell r="K753">
            <v>1.5095958951076235E-3</v>
          </cell>
        </row>
        <row r="754">
          <cell r="B754" t="str">
            <v>EHYD-PUM15</v>
          </cell>
          <cell r="C754" t="str">
            <v>VAR_fout</v>
          </cell>
          <cell r="D754" t="str">
            <v>AUX_PUMP_OUT</v>
          </cell>
          <cell r="I754">
            <v>1.7162958379796033E-3</v>
          </cell>
          <cell r="J754">
            <v>1.510864578233542E-3</v>
          </cell>
          <cell r="K754">
            <v>1.5095958951076235E-3</v>
          </cell>
        </row>
        <row r="755">
          <cell r="B755" t="str">
            <v>EHYD-PUM15</v>
          </cell>
          <cell r="C755" t="str">
            <v>VAR_fin</v>
          </cell>
          <cell r="D755" t="str">
            <v>AUX_PUMP_IN</v>
          </cell>
          <cell r="I755">
            <v>2.1451753765384654E-3</v>
          </cell>
          <cell r="J755">
            <v>1.8883840366711671E-3</v>
          </cell>
          <cell r="K755">
            <v>1.8867187748343153E-3</v>
          </cell>
        </row>
        <row r="756">
          <cell r="B756" t="str">
            <v>EHYD-PUM15</v>
          </cell>
          <cell r="C756" t="str">
            <v>VAR_fin</v>
          </cell>
          <cell r="D756" t="str">
            <v>ELC</v>
          </cell>
          <cell r="I756">
            <v>2.1451753765384654E-3</v>
          </cell>
          <cell r="J756">
            <v>1.8883840366711671E-3</v>
          </cell>
          <cell r="K756">
            <v>1.8867187748343153E-3</v>
          </cell>
        </row>
        <row r="757">
          <cell r="B757" t="str">
            <v>EHYD-PUM15</v>
          </cell>
          <cell r="C757" t="str">
            <v>VAR_ncap</v>
          </cell>
          <cell r="D757" t="str">
            <v>-</v>
          </cell>
          <cell r="I757">
            <v>4.1631491453266598E-8</v>
          </cell>
          <cell r="J757">
            <v>8.3795447885722895E-8</v>
          </cell>
          <cell r="K757">
            <v>4.01661050501781E-7</v>
          </cell>
        </row>
        <row r="758">
          <cell r="B758" t="str">
            <v>EHYD-PUM15</v>
          </cell>
          <cell r="C758" t="str">
            <v>VAR_cap</v>
          </cell>
          <cell r="D758" t="str">
            <v>-</v>
          </cell>
          <cell r="I758">
            <v>1.53673655643388E-4</v>
          </cell>
          <cell r="J758">
            <v>1.5371993932046901E-4</v>
          </cell>
          <cell r="K758">
            <v>1.5389825784882001E-4</v>
          </cell>
        </row>
        <row r="759">
          <cell r="B759" t="str">
            <v>D-EWST</v>
          </cell>
          <cell r="C759" t="str">
            <v>VAR_fout</v>
          </cell>
          <cell r="D759" t="str">
            <v>CO2</v>
          </cell>
          <cell r="I759">
            <v>2240.4530658601302</v>
          </cell>
          <cell r="J759">
            <v>2288.75973622629</v>
          </cell>
          <cell r="K759">
            <v>2317.3903000093401</v>
          </cell>
        </row>
        <row r="760">
          <cell r="B760" t="str">
            <v>D-EWST</v>
          </cell>
          <cell r="C760" t="str">
            <v>VAR_fout</v>
          </cell>
          <cell r="D760" t="str">
            <v>EWST</v>
          </cell>
          <cell r="I760">
            <v>48.28563038225807</v>
          </cell>
          <cell r="J760">
            <v>49.326718453152829</v>
          </cell>
          <cell r="K760">
            <v>49.943756465718515</v>
          </cell>
        </row>
        <row r="761">
          <cell r="B761" t="str">
            <v>D-EWST</v>
          </cell>
          <cell r="C761" t="str">
            <v>VAR_fin</v>
          </cell>
          <cell r="D761" t="str">
            <v>WSTNREN</v>
          </cell>
          <cell r="I761">
            <v>24.142813209699593</v>
          </cell>
          <cell r="J761">
            <v>24.663359226576414</v>
          </cell>
          <cell r="K761">
            <v>24.971878232859254</v>
          </cell>
        </row>
        <row r="762">
          <cell r="B762" t="str">
            <v>D-EWST</v>
          </cell>
          <cell r="C762" t="str">
            <v>VAR_fin</v>
          </cell>
          <cell r="D762" t="str">
            <v>WSTREN</v>
          </cell>
          <cell r="I762">
            <v>24.142813209699593</v>
          </cell>
          <cell r="J762">
            <v>24.663359226576414</v>
          </cell>
          <cell r="K762">
            <v>24.971878232859254</v>
          </cell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0.15512957952440115</v>
          </cell>
          <cell r="E4">
            <v>17.001143491533128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1.0226756615168068E-2</v>
          </cell>
          <cell r="E5">
            <v>0.19852286826290597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5.3604789352614576E-2</v>
          </cell>
          <cell r="E6">
            <v>12.048502691046837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9.1298033556618724E-2</v>
          </cell>
          <cell r="E7">
            <v>4.7541179322233864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751.8040318044101</v>
          </cell>
          <cell r="E8">
            <v>2174.8429718129642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838.6214729411322</v>
          </cell>
          <cell r="E9">
            <v>2075.1206972873601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6.5711845350282188</v>
          </cell>
          <cell r="E10">
            <v>351.80712927558255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10.727309436147735</v>
          </cell>
          <cell r="E11">
            <v>10.667786919122872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214.3072312615565</v>
          </cell>
          <cell r="E12">
            <v>589.46322900808832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0.16237589541537381</v>
          </cell>
          <cell r="E13">
            <v>1316.9065783162334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5.7004432115761311E-2</v>
          </cell>
          <cell r="E14">
            <v>1031.8823869277167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3.0412724406769061E-2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2.7261136708672776E-3</v>
          </cell>
          <cell r="E16">
            <v>8.8524107315973936E-3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1822.2329148014985</v>
          </cell>
          <cell r="E17">
            <v>7550.7099545804322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833.33239195490557</v>
          </cell>
          <cell r="E18">
            <v>1904.7633561724247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833.33239195490557</v>
          </cell>
          <cell r="E19">
            <v>1904.7633561724247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D20">
            <v>988.74539326707225</v>
          </cell>
          <cell r="E20">
            <v>5628.9454549164584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D21">
            <v>988.74539326707225</v>
          </cell>
          <cell r="E21">
            <v>5628.9454549164584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16.480768587237598</v>
          </cell>
          <cell r="I4">
            <v>27.807059383641899</v>
          </cell>
          <cell r="J4">
            <v>75.9221358796825</v>
          </cell>
        </row>
        <row r="5">
          <cell r="A5" t="str">
            <v>EXPELC_DE</v>
          </cell>
          <cell r="C5" t="str">
            <v>ELC_E-DE</v>
          </cell>
          <cell r="H5">
            <v>1.3195547709733777E-3</v>
          </cell>
          <cell r="I5">
            <v>2.9765412760564317E-3</v>
          </cell>
          <cell r="J5">
            <v>3.833229938470529E-4</v>
          </cell>
        </row>
        <row r="6">
          <cell r="A6" t="str">
            <v>IMPDSL</v>
          </cell>
          <cell r="C6" t="str">
            <v>DSL</v>
          </cell>
          <cell r="H6">
            <v>37.083139905459859</v>
          </cell>
          <cell r="I6">
            <v>27.816150741896529</v>
          </cell>
        </row>
        <row r="7">
          <cell r="A7" t="str">
            <v>IMPH2</v>
          </cell>
          <cell r="C7" t="str">
            <v>H2</v>
          </cell>
          <cell r="I7">
            <v>3.1175002270564613</v>
          </cell>
          <cell r="J7">
            <v>3.1175009709531154</v>
          </cell>
        </row>
        <row r="8">
          <cell r="A8" t="str">
            <v>IMPELC_AT</v>
          </cell>
          <cell r="C8" t="str">
            <v>ELC_I-AT</v>
          </cell>
          <cell r="H8">
            <v>0.70927589892867204</v>
          </cell>
          <cell r="I8">
            <v>0.53525177534466084</v>
          </cell>
          <cell r="J8">
            <v>0.6721966453101953</v>
          </cell>
        </row>
        <row r="9">
          <cell r="A9" t="str">
            <v>IMPELC_AT</v>
          </cell>
          <cell r="C9" t="str">
            <v>ELCS</v>
          </cell>
          <cell r="H9">
            <v>0.70927589892867204</v>
          </cell>
          <cell r="I9">
            <v>0.53525177534466084</v>
          </cell>
          <cell r="J9">
            <v>0.6721966453101953</v>
          </cell>
        </row>
        <row r="10">
          <cell r="A10" t="str">
            <v>IMPELC_FR</v>
          </cell>
          <cell r="C10" t="str">
            <v>ELC_I-FR</v>
          </cell>
          <cell r="H10">
            <v>17.145275308807392</v>
          </cell>
          <cell r="I10">
            <v>10.51580059908037</v>
          </cell>
          <cell r="J10">
            <v>8.6911511696604169</v>
          </cell>
        </row>
        <row r="11">
          <cell r="A11" t="str">
            <v>IMPELC_FR</v>
          </cell>
          <cell r="C11" t="str">
            <v>ELCS</v>
          </cell>
          <cell r="H11">
            <v>17.145275308807392</v>
          </cell>
          <cell r="I11">
            <v>10.51580059908037</v>
          </cell>
          <cell r="J11">
            <v>8.6911511696604169</v>
          </cell>
        </row>
        <row r="12">
          <cell r="A12" t="str">
            <v>RNWHYDR1</v>
          </cell>
          <cell r="C12" t="str">
            <v>HYDR</v>
          </cell>
          <cell r="H12">
            <v>63.734799571754969</v>
          </cell>
          <cell r="I12">
            <v>62.650564855207968</v>
          </cell>
          <cell r="J12">
            <v>60.481420553458378</v>
          </cell>
        </row>
        <row r="13">
          <cell r="A13" t="str">
            <v>EXPELC_IT</v>
          </cell>
          <cell r="C13" t="str">
            <v>ELC_E-IT</v>
          </cell>
          <cell r="H13">
            <v>38.822034625727142</v>
          </cell>
          <cell r="I13">
            <v>22.500128535664402</v>
          </cell>
          <cell r="J13">
            <v>17.362320860805376</v>
          </cell>
        </row>
        <row r="14">
          <cell r="A14" t="str">
            <v>IMPLNG</v>
          </cell>
          <cell r="C14" t="str">
            <v>LBIO</v>
          </cell>
          <cell r="H14">
            <v>2.1353213419552932</v>
          </cell>
          <cell r="I14">
            <v>2.1353406316099797</v>
          </cell>
          <cell r="J14">
            <v>7.3195729399162996E-4</v>
          </cell>
        </row>
        <row r="15">
          <cell r="A15" t="str">
            <v>IMPLNG</v>
          </cell>
          <cell r="C15" t="str">
            <v>LNGA</v>
          </cell>
          <cell r="H15">
            <v>3.8051757114420986E-4</v>
          </cell>
          <cell r="I15">
            <v>3.6036913408411846E-4</v>
          </cell>
          <cell r="J15">
            <v>9.5612289581754374E-4</v>
          </cell>
        </row>
        <row r="16">
          <cell r="A16" t="str">
            <v>IMPURN1</v>
          </cell>
          <cell r="C16" t="str">
            <v>URN</v>
          </cell>
          <cell r="H16">
            <v>190.50116506642982</v>
          </cell>
          <cell r="I16">
            <v>190.50117069540971</v>
          </cell>
          <cell r="J16">
            <v>285.77958126335932</v>
          </cell>
        </row>
        <row r="17">
          <cell r="A17" t="str">
            <v>EXPELC_AT</v>
          </cell>
          <cell r="C17" t="str">
            <v>ELC_E-AT</v>
          </cell>
          <cell r="H17">
            <v>1.5817253206116668E-4</v>
          </cell>
          <cell r="I17">
            <v>1.5863187837719632E-4</v>
          </cell>
          <cell r="J17">
            <v>1.0061548644319375E-4</v>
          </cell>
        </row>
        <row r="18">
          <cell r="A18" t="str">
            <v>EXPELC_FR</v>
          </cell>
          <cell r="C18" t="str">
            <v>ELC_E-FR</v>
          </cell>
          <cell r="H18">
            <v>5.175774361614575E-4</v>
          </cell>
          <cell r="I18">
            <v>1.7337774922391803E-3</v>
          </cell>
          <cell r="J18">
            <v>1.576933414873983E-3</v>
          </cell>
        </row>
        <row r="19">
          <cell r="A19" t="str">
            <v>RNWWND1</v>
          </cell>
          <cell r="C19" t="str">
            <v>WND</v>
          </cell>
          <cell r="H19">
            <v>0.87512346812021446</v>
          </cell>
          <cell r="I19">
            <v>0.87512283066074015</v>
          </cell>
          <cell r="J19">
            <v>0.87512348094970172</v>
          </cell>
        </row>
        <row r="20">
          <cell r="A20" t="str">
            <v>RNWWND2</v>
          </cell>
          <cell r="C20" t="str">
            <v>WND</v>
          </cell>
          <cell r="H20">
            <v>2.6842929074036609E-3</v>
          </cell>
          <cell r="I20">
            <v>2.8168269058449504E-3</v>
          </cell>
          <cell r="J20">
            <v>3.1718330194015522E-3</v>
          </cell>
        </row>
        <row r="21">
          <cell r="A21" t="str">
            <v>RNWMNR1</v>
          </cell>
          <cell r="C21" t="str">
            <v>MNR</v>
          </cell>
          <cell r="H21">
            <v>12.540429083180546</v>
          </cell>
          <cell r="I21">
            <v>12.540426464482254</v>
          </cell>
          <cell r="J21">
            <v>12.540425628857459</v>
          </cell>
        </row>
        <row r="22">
          <cell r="A22" t="str">
            <v>RNWWND3</v>
          </cell>
          <cell r="C22" t="str">
            <v>WND</v>
          </cell>
          <cell r="H22">
            <v>1.2315410309729213E-3</v>
          </cell>
          <cell r="I22">
            <v>1.2144333087213968E-3</v>
          </cell>
          <cell r="J22">
            <v>1.0564007054682523E-3</v>
          </cell>
        </row>
        <row r="23">
          <cell r="A23" t="str">
            <v>RNWMNR2</v>
          </cell>
          <cell r="C23" t="str">
            <v>MNR</v>
          </cell>
          <cell r="I23">
            <v>2.0900690579188388</v>
          </cell>
          <cell r="J23">
            <v>6.2702118628984422</v>
          </cell>
        </row>
        <row r="24">
          <cell r="A24" t="str">
            <v>RNWWND4</v>
          </cell>
          <cell r="C24" t="str">
            <v>WND</v>
          </cell>
          <cell r="H24">
            <v>6.1790654608296562E-4</v>
          </cell>
          <cell r="I24">
            <v>5.593241955946667E-4</v>
          </cell>
          <cell r="J24">
            <v>4.4105241804099943E-4</v>
          </cell>
        </row>
        <row r="25">
          <cell r="A25" t="str">
            <v>RNWMNR3</v>
          </cell>
          <cell r="C25" t="str">
            <v>MNR</v>
          </cell>
          <cell r="I25">
            <v>2.8058007273948646E-3</v>
          </cell>
          <cell r="J25">
            <v>8.0064596247098532</v>
          </cell>
        </row>
        <row r="26">
          <cell r="A26" t="str">
            <v>IMPLFO1</v>
          </cell>
          <cell r="C26" t="str">
            <v>LFO</v>
          </cell>
          <cell r="H26">
            <v>29.081889310862266</v>
          </cell>
          <cell r="I26">
            <v>14.84665048873155</v>
          </cell>
        </row>
        <row r="27">
          <cell r="A27" t="str">
            <v>RNWWND5</v>
          </cell>
          <cell r="C27" t="str">
            <v>WND</v>
          </cell>
          <cell r="H27">
            <v>3.8276758121271267E-4</v>
          </cell>
          <cell r="I27">
            <v>3.3540101858163204E-4</v>
          </cell>
          <cell r="J27">
            <v>2.570141789457043E-4</v>
          </cell>
        </row>
        <row r="28">
          <cell r="A28" t="str">
            <v>IMPBNGA</v>
          </cell>
          <cell r="C28" t="str">
            <v>BIO</v>
          </cell>
          <cell r="H28">
            <v>3.7951806104632713</v>
          </cell>
          <cell r="I28">
            <v>3.8213232247361471</v>
          </cell>
          <cell r="J28">
            <v>2.7455609540289494</v>
          </cell>
        </row>
        <row r="29">
          <cell r="A29" t="str">
            <v>RNWGEO1</v>
          </cell>
          <cell r="C29" t="str">
            <v>GEO</v>
          </cell>
          <cell r="I29">
            <v>1.2492493198690529E-3</v>
          </cell>
          <cell r="J29">
            <v>1.3414769550381643E-2</v>
          </cell>
        </row>
        <row r="30">
          <cell r="A30" t="str">
            <v>RNWGEO2</v>
          </cell>
          <cell r="C30" t="str">
            <v>GEO</v>
          </cell>
          <cell r="I30">
            <v>1.043344895863492E-3</v>
          </cell>
          <cell r="J30">
            <v>3.6718651722676843E-3</v>
          </cell>
        </row>
        <row r="31">
          <cell r="A31" t="str">
            <v>IMPKERintl</v>
          </cell>
          <cell r="C31" t="str">
            <v>KERintl</v>
          </cell>
          <cell r="H31">
            <v>65.923074392196995</v>
          </cell>
          <cell r="I31">
            <v>52.509418300774001</v>
          </cell>
        </row>
        <row r="32">
          <cell r="A32" t="str">
            <v>RNWGEO3</v>
          </cell>
          <cell r="C32" t="str">
            <v>GEO</v>
          </cell>
          <cell r="I32">
            <v>7.876394193357453E-4</v>
          </cell>
          <cell r="J32">
            <v>1.5375784494242178E-3</v>
          </cell>
        </row>
        <row r="33">
          <cell r="A33" t="str">
            <v>RNWGEO4</v>
          </cell>
          <cell r="C33" t="str">
            <v>GEO</v>
          </cell>
          <cell r="I33">
            <v>6.9935309405625844E-4</v>
          </cell>
          <cell r="J33">
            <v>1.1815870246580464E-3</v>
          </cell>
        </row>
        <row r="34">
          <cell r="A34" t="str">
            <v>RNWGEO5</v>
          </cell>
          <cell r="C34" t="str">
            <v>GEO</v>
          </cell>
          <cell r="I34">
            <v>6.2813376002303334E-4</v>
          </cell>
          <cell r="J34">
            <v>9.7272279821123829E-4</v>
          </cell>
        </row>
        <row r="35">
          <cell r="A35" t="str">
            <v>IMPGSL</v>
          </cell>
          <cell r="C35" t="str">
            <v>GSL</v>
          </cell>
          <cell r="H35">
            <v>17.709412826377505</v>
          </cell>
          <cell r="I35">
            <v>6.963517933314848</v>
          </cell>
        </row>
        <row r="36">
          <cell r="A36" t="str">
            <v>RNWWOD1</v>
          </cell>
          <cell r="C36" t="str">
            <v>WOD</v>
          </cell>
          <cell r="H36">
            <v>15.849139590184555</v>
          </cell>
          <cell r="I36">
            <v>16.266396919958851</v>
          </cell>
          <cell r="J36">
            <v>16.95699467200815</v>
          </cell>
        </row>
        <row r="37">
          <cell r="A37" t="str">
            <v>RNWWOD2</v>
          </cell>
          <cell r="C37" t="str">
            <v>WOD</v>
          </cell>
          <cell r="H37">
            <v>7.6690267405428489</v>
          </cell>
          <cell r="I37">
            <v>7.6690271400498915</v>
          </cell>
          <cell r="J37">
            <v>7.6690274181911402</v>
          </cell>
        </row>
        <row r="38">
          <cell r="A38" t="str">
            <v>RNWWOD3</v>
          </cell>
          <cell r="C38" t="str">
            <v>WOD</v>
          </cell>
          <cell r="H38">
            <v>4.8053858634506561</v>
          </cell>
          <cell r="I38">
            <v>4.8053863659903202</v>
          </cell>
          <cell r="J38">
            <v>4.8053861876806963</v>
          </cell>
        </row>
        <row r="39">
          <cell r="A39" t="str">
            <v>RNWWOD4</v>
          </cell>
          <cell r="C39" t="str">
            <v>WOD</v>
          </cell>
          <cell r="H39">
            <v>19.869253669965154</v>
          </cell>
          <cell r="I39">
            <v>19.869255642889904</v>
          </cell>
          <cell r="J39">
            <v>19.869256475894936</v>
          </cell>
        </row>
        <row r="40">
          <cell r="A40" t="str">
            <v>RNWWOD5</v>
          </cell>
          <cell r="C40" t="str">
            <v>WOD</v>
          </cell>
          <cell r="H40">
            <v>3.1545123626221296</v>
          </cell>
          <cell r="I40">
            <v>2.7372528378650354</v>
          </cell>
          <cell r="J40">
            <v>2.0466541820912205</v>
          </cell>
        </row>
        <row r="41">
          <cell r="A41" t="str">
            <v>RNNWWST1</v>
          </cell>
          <cell r="C41" t="str">
            <v>WSTNREN</v>
          </cell>
          <cell r="H41">
            <v>34.937585344433401</v>
          </cell>
          <cell r="I41">
            <v>35.403643505638776</v>
          </cell>
          <cell r="J41">
            <v>35.603182408287772</v>
          </cell>
        </row>
        <row r="42">
          <cell r="A42" t="str">
            <v>RNWSOL1</v>
          </cell>
          <cell r="C42" t="str">
            <v>SOL</v>
          </cell>
          <cell r="H42">
            <v>56.60366819269948</v>
          </cell>
          <cell r="I42">
            <v>60.991146672485911</v>
          </cell>
          <cell r="J42">
            <v>66.822361123847642</v>
          </cell>
        </row>
        <row r="43">
          <cell r="A43" t="str">
            <v>IMPHFO1</v>
          </cell>
          <cell r="C43" t="str">
            <v>HFO</v>
          </cell>
          <cell r="H43">
            <v>5.493190908135052E-4</v>
          </cell>
          <cell r="I43">
            <v>2.3405716732132768E-3</v>
          </cell>
        </row>
        <row r="44">
          <cell r="A44" t="str">
            <v>RNWHYDD1</v>
          </cell>
          <cell r="C44" t="str">
            <v>HYDD</v>
          </cell>
          <cell r="H44">
            <v>71.582529759456207</v>
          </cell>
          <cell r="I44">
            <v>72.666766131941202</v>
          </cell>
          <cell r="J44">
            <v>74.835911068843544</v>
          </cell>
        </row>
        <row r="45">
          <cell r="A45" t="str">
            <v>IMPKER</v>
          </cell>
          <cell r="C45" t="str">
            <v>KER</v>
          </cell>
          <cell r="H45">
            <v>2.5879628064481404</v>
          </cell>
          <cell r="I45">
            <v>2.1510137123604878</v>
          </cell>
        </row>
        <row r="46">
          <cell r="A46" t="str">
            <v>IMPBDS</v>
          </cell>
          <cell r="C46" t="str">
            <v>BDS</v>
          </cell>
          <cell r="H46">
            <v>3.6497564723135554</v>
          </cell>
          <cell r="I46">
            <v>3.651338258221676</v>
          </cell>
          <cell r="J46">
            <v>4.8054361040994404</v>
          </cell>
        </row>
        <row r="47">
          <cell r="A47" t="str">
            <v>IMPCOA1</v>
          </cell>
          <cell r="C47" t="str">
            <v>COA</v>
          </cell>
          <cell r="H47">
            <v>2.6777993659226013E-4</v>
          </cell>
          <cell r="I47">
            <v>0.65156338870537378</v>
          </cell>
          <cell r="J47">
            <v>2.9640435687106753E-4</v>
          </cell>
        </row>
        <row r="48">
          <cell r="A48" t="str">
            <v>IMPETH</v>
          </cell>
          <cell r="C48" t="str">
            <v>ETH</v>
          </cell>
          <cell r="H48">
            <v>1.0260228698292468</v>
          </cell>
          <cell r="I48">
            <v>0.99829868041823822</v>
          </cell>
          <cell r="J48">
            <v>0.91999887324786545</v>
          </cell>
        </row>
        <row r="49">
          <cell r="A49" t="str">
            <v>IMPELC_DE</v>
          </cell>
          <cell r="C49" t="str">
            <v>ELC_I-DE</v>
          </cell>
          <cell r="H49">
            <v>36.279054057305885</v>
          </cell>
          <cell r="I49">
            <v>30.074780478639148</v>
          </cell>
          <cell r="J49">
            <v>12.389015032027013</v>
          </cell>
        </row>
        <row r="50">
          <cell r="A50" t="str">
            <v>IMPELC_DE</v>
          </cell>
          <cell r="C50" t="str">
            <v>ELCS</v>
          </cell>
          <cell r="H50">
            <v>36.279054057305885</v>
          </cell>
          <cell r="I50">
            <v>30.074780478639148</v>
          </cell>
          <cell r="J50">
            <v>12.389015032027013</v>
          </cell>
        </row>
        <row r="51">
          <cell r="A51" t="str">
            <v>RNWWST1</v>
          </cell>
          <cell r="C51" t="str">
            <v>WSTREN</v>
          </cell>
          <cell r="H51">
            <v>37.453322448528127</v>
          </cell>
          <cell r="I51">
            <v>37.453330972523169</v>
          </cell>
          <cell r="J51">
            <v>37.453335321703996</v>
          </cell>
        </row>
        <row r="52">
          <cell r="A52" t="str">
            <v>IMPNGA1</v>
          </cell>
          <cell r="C52" t="str">
            <v>NGA</v>
          </cell>
          <cell r="H52">
            <v>45.42093944269913</v>
          </cell>
          <cell r="I52">
            <v>26.725073675349602</v>
          </cell>
          <cell r="J52">
            <v>10.200778509430545</v>
          </cell>
        </row>
        <row r="53">
          <cell r="A53" t="str">
            <v>IMPELC_IT</v>
          </cell>
          <cell r="C53" t="str">
            <v>ELC_I-IT</v>
          </cell>
          <cell r="H53">
            <v>1.7745570142982601E-4</v>
          </cell>
          <cell r="I53">
            <v>1.3725791724895523E-4</v>
          </cell>
          <cell r="J53">
            <v>1.2283723352736004E-4</v>
          </cell>
        </row>
        <row r="54">
          <cell r="A54" t="str">
            <v>IMPELC_IT</v>
          </cell>
          <cell r="C54" t="str">
            <v>ELCS</v>
          </cell>
          <cell r="H54">
            <v>1.7745570142982601E-4</v>
          </cell>
          <cell r="I54">
            <v>1.3725791724895523E-4</v>
          </cell>
          <cell r="J54">
            <v>1.2283723352736004E-4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1.2524831560794469</v>
          </cell>
          <cell r="I4">
            <v>1.3323418436234113</v>
          </cell>
          <cell r="J4">
            <v>1.1442486260920366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1.2524831560794469</v>
          </cell>
          <cell r="I5">
            <v>1.3323418436234113</v>
          </cell>
          <cell r="J5">
            <v>1.1442486260920366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1.9565274091192758E-4</v>
          </cell>
          <cell r="I6">
            <v>7.0281239533863068E-5</v>
          </cell>
          <cell r="J6">
            <v>1.34277413332937E-4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1.9584839365283942E-4</v>
          </cell>
          <cell r="I7">
            <v>7.0351520773396958E-5</v>
          </cell>
          <cell r="J7">
            <v>1.3441169074626983E-4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1.9775440353579307E-4</v>
          </cell>
          <cell r="I8">
            <v>7.117317699091474E-5</v>
          </cell>
          <cell r="J8">
            <v>1.3809063270095782E-4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3.6736201625407397E-7</v>
          </cell>
          <cell r="I9">
            <v>9.1845714625855303E-6</v>
          </cell>
          <cell r="J9">
            <v>2.2621516227983099E-5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8.1378259974360405E-5</v>
          </cell>
          <cell r="I10">
            <v>2.1461984309491699E-5</v>
          </cell>
          <cell r="J10">
            <v>2.9442459808795999E-5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4.34371664874792</v>
          </cell>
          <cell r="I11">
            <v>2.42756111671914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5.5972369888431427E-2</v>
          </cell>
          <cell r="I12">
            <v>3.1281126219626587E-2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5.8937810702142726E-2</v>
          </cell>
          <cell r="I13">
            <v>3.2938414066745379E-2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1.372511813039123E-2</v>
          </cell>
          <cell r="I15">
            <v>2.4304643679017891E-3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18.416253839637498</v>
          </cell>
          <cell r="I16">
            <v>22.7514299788518</v>
          </cell>
          <cell r="J16">
            <v>25.895440073601002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0.66190187766189046</v>
          </cell>
          <cell r="I17">
            <v>0.83002785422834324</v>
          </cell>
          <cell r="J17">
            <v>0.98402145891574355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0.32652932339782731</v>
          </cell>
          <cell r="I18">
            <v>0.40339414856120187</v>
          </cell>
          <cell r="J18">
            <v>0.45913900839718119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0.66190187766189046</v>
          </cell>
          <cell r="I19">
            <v>0.83002785422834324</v>
          </cell>
          <cell r="J19">
            <v>0.98402145891574355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1.4785157410699501E-2</v>
          </cell>
          <cell r="I20">
            <v>2.9734191105969799E-2</v>
          </cell>
          <cell r="J20">
            <v>4.4072064765263597E-2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4.8232818671607558E-2</v>
          </cell>
          <cell r="I21">
            <v>6.0477318950553791E-2</v>
          </cell>
          <cell r="J21">
            <v>7.1905129843135823E-2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3.056075605776416</v>
          </cell>
          <cell r="I22">
            <v>3.0560764946120593</v>
          </cell>
          <cell r="J22">
            <v>3.056077467920145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3.056075605776416</v>
          </cell>
          <cell r="I23">
            <v>3.0560764946120593</v>
          </cell>
          <cell r="J23">
            <v>3.056077467920145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4.1090092178506463</v>
          </cell>
          <cell r="I24">
            <v>4.0975327302061189</v>
          </cell>
          <cell r="J24">
            <v>4.0747699572268594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6.5878986535994999E-2</v>
          </cell>
          <cell r="I25">
            <v>0.10324725547850799</v>
          </cell>
          <cell r="J25">
            <v>0.10600347457015701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0.21544323648007946</v>
          </cell>
          <cell r="I26">
            <v>0.21253687374835964</v>
          </cell>
          <cell r="J26">
            <v>0.20879610972606019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9.1789933483980401E-4</v>
          </cell>
          <cell r="I27">
            <v>1.0160488622925836E-3</v>
          </cell>
          <cell r="J27">
            <v>3.2695965107941308E-4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4.896638411485024E-4</v>
          </cell>
          <cell r="I28">
            <v>4.1811158076402084E-4</v>
          </cell>
          <cell r="J28">
            <v>1.7959163945255004E-4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1.4026251013550789E-3</v>
          </cell>
          <cell r="I29">
            <v>1.4303979767127371E-3</v>
          </cell>
          <cell r="J29">
            <v>5.0280548317658158E-4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1.1974885979457943</v>
          </cell>
          <cell r="I30">
            <v>1.127282617900518</v>
          </cell>
          <cell r="J30">
            <v>0.83635311610662977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2.5927668782090532</v>
          </cell>
          <cell r="I31">
            <v>2.3876715787408549</v>
          </cell>
          <cell r="J31">
            <v>1.6858877622213693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2.2638140029123101E-2</v>
          </cell>
          <cell r="I32">
            <v>4.55293309548069E-2</v>
          </cell>
          <cell r="J32">
            <v>1.6092720783088401E-2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8.1860454368013494E-2</v>
          </cell>
          <cell r="I33">
            <v>7.8449096831340812E-2</v>
          </cell>
          <cell r="J33">
            <v>5.87105535086389E-2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3.5033087557715783</v>
          </cell>
          <cell r="I34">
            <v>2.7493095282330655</v>
          </cell>
          <cell r="J34">
            <v>1.4792076117817727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4.8154987146285908</v>
          </cell>
          <cell r="I35">
            <v>3.7556032468853862</v>
          </cell>
          <cell r="J35">
            <v>1.9658870911404212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0.14090091666221699</v>
          </cell>
          <cell r="I36">
            <v>7.7085460134029393E-2</v>
          </cell>
          <cell r="J36">
            <v>4.1753468498782701E-3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0.28304535282473176</v>
          </cell>
          <cell r="I37">
            <v>0.22213765526414261</v>
          </cell>
          <cell r="J37">
            <v>0.11971910041496994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0.10570722724397873</v>
          </cell>
          <cell r="J38">
            <v>0.10448883539370052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0.10677497701411991</v>
          </cell>
          <cell r="J39">
            <v>0.10554427817545499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1.1163378690186299E-6</v>
          </cell>
          <cell r="I40">
            <v>1.36609322071276E-2</v>
          </cell>
          <cell r="J40">
            <v>3.5332746407543599E-6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1.57215326824613E-6</v>
          </cell>
          <cell r="I41">
            <v>1.36625043603959E-2</v>
          </cell>
          <cell r="J41">
            <v>1.36660376350366E-2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6.4495594509558387</v>
          </cell>
          <cell r="I42">
            <v>5.4408008090956219</v>
          </cell>
          <cell r="J42">
            <v>3.5388874593046236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9.5367404009104249</v>
          </cell>
          <cell r="I43">
            <v>8.0112539145458985</v>
          </cell>
          <cell r="J43">
            <v>5.0865836829252329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0.30583650682251201</v>
          </cell>
          <cell r="I44">
            <v>0.120587022415512</v>
          </cell>
          <cell r="J44">
            <v>0.10062472242234401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0.50137621090588991</v>
          </cell>
          <cell r="I45">
            <v>0.43397078334942174</v>
          </cell>
          <cell r="J45">
            <v>0.31750560769872932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6.4193141180571258</v>
          </cell>
          <cell r="I46">
            <v>7.1796396147168347</v>
          </cell>
          <cell r="J46">
            <v>7.1902854604718751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6.4193141180571258</v>
          </cell>
          <cell r="I47">
            <v>7.1796396147168347</v>
          </cell>
          <cell r="J47">
            <v>7.1902854604718751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6.8339502039362454</v>
          </cell>
          <cell r="I48">
            <v>7.6033171260728922</v>
          </cell>
          <cell r="J48">
            <v>7.5687215373388161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0.230377705783124</v>
          </cell>
          <cell r="I49">
            <v>0.18428599574218699</v>
          </cell>
          <cell r="J49">
            <v>0.31748123883138202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0.35998611913618306</v>
          </cell>
          <cell r="I50">
            <v>0.41893429598212173</v>
          </cell>
          <cell r="J50">
            <v>0.52301817013954277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0.14967884909465903</v>
          </cell>
          <cell r="I51">
            <v>0.28722238305939957</v>
          </cell>
          <cell r="J51">
            <v>0.30933700174978285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0.14982852794375368</v>
          </cell>
          <cell r="I52">
            <v>0.28750960544245863</v>
          </cell>
          <cell r="J52">
            <v>0.30964633875153263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0.14968424927284038</v>
          </cell>
          <cell r="I53">
            <v>0.28722477699477589</v>
          </cell>
          <cell r="J53">
            <v>0.30934121255359032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1.33269134318504E-2</v>
          </cell>
          <cell r="I54">
            <v>2.8790057244814E-2</v>
          </cell>
          <cell r="J54">
            <v>3.3851774281528801E-2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4.0348567562947739E-2</v>
          </cell>
          <cell r="I55">
            <v>5.36278871536508E-2</v>
          </cell>
          <cell r="J55">
            <v>6.0347745803014663E-2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0.12851596675495841</v>
          </cell>
          <cell r="I56">
            <v>0.13359697170882653</v>
          </cell>
          <cell r="J56">
            <v>0.14389218087952646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5.8500265539820635</v>
          </cell>
          <cell r="I57">
            <v>5.9318541434372047</v>
          </cell>
          <cell r="J57">
            <v>5.2866776343372326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2.1018004718460612</v>
          </cell>
          <cell r="I58">
            <v>2.1886022143162696</v>
          </cell>
          <cell r="J58">
            <v>2.0381990487002004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1.7163821330515983</v>
          </cell>
          <cell r="I59">
            <v>2.3396708127822907</v>
          </cell>
          <cell r="J59">
            <v>3.0046941868423853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0.24694141449297083</v>
          </cell>
          <cell r="I60">
            <v>0.27180345339035311</v>
          </cell>
          <cell r="J60">
            <v>0.30290006773041711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10.9957563093259</v>
          </cell>
          <cell r="I61">
            <v>11.851947431534134</v>
          </cell>
          <cell r="J61">
            <v>11.669212359833519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6.0703392033910306E-8</v>
          </cell>
          <cell r="I62">
            <v>1.02098701931599E-7</v>
          </cell>
          <cell r="J62">
            <v>1.0468355328805E-7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0.627679129298084</v>
          </cell>
          <cell r="I63">
            <v>0.62767923139678605</v>
          </cell>
          <cell r="J63">
            <v>0.62767933608033899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9.7680408419194612E-4</v>
          </cell>
          <cell r="I64">
            <v>7.3850706569541277E-4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0.23844872110239765</v>
          </cell>
          <cell r="I65">
            <v>0.10522476983821494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0.23941956844702034</v>
          </cell>
          <cell r="I66">
            <v>0.10595978058279215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60.050277866656302</v>
          </cell>
          <cell r="I67">
            <v>59.801767796711232</v>
          </cell>
          <cell r="J67">
            <v>58.222304762381285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6.8331148531276025</v>
          </cell>
          <cell r="I68">
            <v>8.9508546482063061</v>
          </cell>
          <cell r="J68">
            <v>12.973651141307506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6.4495594509558387</v>
          </cell>
          <cell r="I69">
            <v>5.4408008090956219</v>
          </cell>
          <cell r="J69">
            <v>3.5388874593046236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6.4649061080367023</v>
          </cell>
          <cell r="I70">
            <v>6.782061587043783</v>
          </cell>
          <cell r="J70">
            <v>6.2438092402402763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0.25361416482197213</v>
          </cell>
          <cell r="I71">
            <v>0.21486107338025565</v>
          </cell>
          <cell r="J71">
            <v>0.15867084115865243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19.289185547647957</v>
          </cell>
          <cell r="I73">
            <v>25.290922468159522</v>
          </cell>
          <cell r="J73">
            <v>27.301897816050179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0.90288671767887707</v>
          </cell>
          <cell r="I74">
            <v>0.97688154776075631</v>
          </cell>
          <cell r="J74">
            <v>0.81875528926354624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0.89834345262832205</v>
          </cell>
          <cell r="I76">
            <v>1.105708079691462</v>
          </cell>
          <cell r="J76">
            <v>1.2662951642367719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7.8054822625722213</v>
          </cell>
          <cell r="I77">
            <v>3.2483189218054913</v>
          </cell>
          <cell r="J77">
            <v>0.97377485473750691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3.8453921171470093</v>
          </cell>
          <cell r="I78">
            <v>4.8363476783448549</v>
          </cell>
          <cell r="J78">
            <v>4.7779797673306614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7.3077931920398163</v>
          </cell>
          <cell r="I80">
            <v>2.9550109832231253</v>
          </cell>
          <cell r="J80">
            <v>0.16858318875153602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3.6734820110915725E-4</v>
          </cell>
          <cell r="I81">
            <v>3.8013777468872594E-4</v>
          </cell>
          <cell r="J81">
            <v>4.7719165334321277E-4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4.4530062129637094E-4</v>
          </cell>
          <cell r="I82">
            <v>4.4724658928315352E-4</v>
          </cell>
          <cell r="J82">
            <v>5.2741868209991419E-4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2.44778505953094E-5</v>
          </cell>
          <cell r="I83">
            <v>4.8943111595289598E-5</v>
          </cell>
          <cell r="J83">
            <v>3.7026082869139997E-5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4.3447963747795008E-5</v>
          </cell>
          <cell r="I84">
            <v>4.1555480441107292E-5</v>
          </cell>
          <cell r="J84">
            <v>4.1755053754719903E-5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2.1024415757009533E-2</v>
          </cell>
          <cell r="I85">
            <v>3.3544911408853476E-2</v>
          </cell>
          <cell r="J85">
            <v>3.3637453976748818E-2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2.1025314165064892E-2</v>
          </cell>
          <cell r="I86">
            <v>3.3545483207930077E-2</v>
          </cell>
          <cell r="J86">
            <v>3.3637937148919959E-2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4.3200360313952104E-6</v>
          </cell>
          <cell r="I87">
            <v>7.9504664782962099E-4</v>
          </cell>
          <cell r="J87">
            <v>4.3045074373644897E-4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7.9535219986499102E-4</v>
          </cell>
          <cell r="I88">
            <v>1.2273950265334771E-3</v>
          </cell>
          <cell r="J88">
            <v>1.2287092102439517E-3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9.8068328968092134E-3</v>
          </cell>
          <cell r="I89">
            <v>3.4361442321366388E-3</v>
          </cell>
          <cell r="J89">
            <v>4.0916613700607073E-6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8.7128440883613075E-6</v>
          </cell>
          <cell r="I90">
            <v>3.8748098587991727E-6</v>
          </cell>
          <cell r="J90">
            <v>2.8986830849963627E-6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8.823296904564475E-4</v>
          </cell>
          <cell r="I91"/>
          <cell r="J91">
            <v>1.669561219302837E-6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1.0698967841640991E-2</v>
          </cell>
          <cell r="I92">
            <v>3.4409094669453988E-3</v>
          </cell>
          <cell r="J92">
            <v>8.6599056743599093E-6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2.6777993659226013E-4</v>
          </cell>
          <cell r="I93">
            <v>0.65156338870537378</v>
          </cell>
          <cell r="J93">
            <v>2.9640435687106753E-4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2.4823200122102498E-2</v>
          </cell>
          <cell r="I94">
            <v>60.399926132988199</v>
          </cell>
          <cell r="J94">
            <v>2.7476683881947999E-2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2.6777993659226013E-4</v>
          </cell>
          <cell r="I95">
            <v>0.65156338870537378</v>
          </cell>
          <cell r="J95">
            <v>2.9640435687106753E-4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2.816879679012144</v>
          </cell>
          <cell r="I96">
            <v>4.2430157335613714</v>
          </cell>
          <cell r="J96">
            <v>4.2470309072592789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2.816879679012144</v>
          </cell>
          <cell r="I97">
            <v>4.2430157335613714</v>
          </cell>
          <cell r="J97">
            <v>4.2470309072592789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8.1505064941291006E-2</v>
          </cell>
          <cell r="I98">
            <v>0.100704209394292</v>
          </cell>
          <cell r="J98">
            <v>2.5642624774411701E-2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0.19891286018959364</v>
          </cell>
          <cell r="I99">
            <v>0.29961707008064953</v>
          </cell>
          <cell r="J99">
            <v>0.29990128404026573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3.8591059754903823E-3</v>
          </cell>
          <cell r="I100">
            <v>3.0299166895845077E-3</v>
          </cell>
          <cell r="J100">
            <v>2.1834804827679799E-3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4.119965753855594E-3</v>
          </cell>
          <cell r="I101">
            <v>3.2347266640008346E-3</v>
          </cell>
          <cell r="J101">
            <v>2.3108421665820264E-3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7.8970088525307403E-5</v>
          </cell>
          <cell r="I102">
            <v>1.8918341343745701E-4</v>
          </cell>
          <cell r="J102">
            <v>2.2205225858187499E-7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4.6163687360807615E-4</v>
          </cell>
          <cell r="I103">
            <v>2.6792324808700031E-4</v>
          </cell>
          <cell r="J103">
            <v>1.5408985397308929E-4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3.24239608212886E-3</v>
          </cell>
          <cell r="I107">
            <v>1.31192785326924E-3</v>
          </cell>
          <cell r="J107">
            <v>1.23715044575592E-8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6.22044834124162E-3</v>
          </cell>
          <cell r="I108">
            <v>2.8400605825517101E-3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3.5123882610371195</v>
          </cell>
          <cell r="I109">
            <v>4.5580441212986518</v>
          </cell>
          <cell r="J109">
            <v>6.6148345661427248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3.5123882610371195</v>
          </cell>
          <cell r="I110">
            <v>4.5580441212986518</v>
          </cell>
          <cell r="J110">
            <v>6.6148345661427248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0.10766999295624601</v>
          </cell>
          <cell r="I111">
            <v>7.3837146516239793E-2</v>
          </cell>
          <cell r="J111">
            <v>0.184733676346441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0.24802524168072421</v>
          </cell>
          <cell r="I112">
            <v>0.321862388513945</v>
          </cell>
          <cell r="J112">
            <v>0.46709994551866657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0.38233704269572572</v>
          </cell>
          <cell r="I113">
            <v>0.13209968774716518</v>
          </cell>
          <cell r="J113">
            <v>1.241811956302012E-4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2.090053562761442E-2</v>
          </cell>
          <cell r="I114"/>
          <cell r="J114">
            <v>1.148038533162332E-4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5.5010642535091945E-3</v>
          </cell>
          <cell r="I115">
            <v>8.6783823551763228E-2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2.8288697971067233E-4</v>
          </cell>
          <cell r="I116"/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>
            <v>3.8823758997207162E-4</v>
          </cell>
          <cell r="I117">
            <v>1.7064257956511395E-3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0.2559857962008727</v>
          </cell>
          <cell r="I118">
            <v>4.7830998264172444E-3</v>
          </cell>
          <cell r="J118">
            <v>3.5298533108953025E-6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9.6592505320228811E-2</v>
          </cell>
          <cell r="I119">
            <v>2.6682100263000528E-2</v>
          </cell>
          <cell r="J119">
            <v>2.6478294450728688E-6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8.823296904564475E-4</v>
          </cell>
          <cell r="I120"/>
          <cell r="J120">
            <v>1.669561219302837E-6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>
            <v>1.8036870333617743E-3</v>
          </cell>
          <cell r="I121">
            <v>1.214423831033315E-2</v>
          </cell>
          <cell r="J121">
            <v>1.5300983386969595E-6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7.2220124911319501E-3</v>
          </cell>
          <cell r="I122">
            <v>3.5500101274709801E-3</v>
          </cell>
          <cell r="J122">
            <v>9.6545087453810596E-5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7.3695280750035808E-3</v>
          </cell>
          <cell r="I123">
            <v>6.7150510736703698E-3</v>
          </cell>
          <cell r="J123">
            <v>2.4224060792576996E-4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2.090053562761442E-2</v>
          </cell>
          <cell r="I124"/>
          <cell r="J124">
            <v>1.148038533162332E-4</v>
          </cell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0.1253360392558345</v>
          </cell>
          <cell r="I125">
            <v>0.14406986680044112</v>
          </cell>
          <cell r="J125">
            <v>3.7282719813584338E-3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1.0137027739826534E-4</v>
          </cell>
          <cell r="I126">
            <v>1.0037954279375007E-4</v>
          </cell>
          <cell r="J126">
            <v>6.7208262675140344E-6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0.14633794516084708</v>
          </cell>
          <cell r="I127">
            <v>0.14417024634323489</v>
          </cell>
          <cell r="J127">
            <v>3.8503566766234557E-3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1.8782761441970142</v>
          </cell>
          <cell r="I128">
            <v>1.9574321727705697</v>
          </cell>
          <cell r="J128">
            <v>1.8236554777650631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1.8782761441970142</v>
          </cell>
          <cell r="I129">
            <v>1.9574321727705697</v>
          </cell>
          <cell r="J129">
            <v>1.8236554777650631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2.1018004718460612</v>
          </cell>
          <cell r="I130">
            <v>2.1886022143162696</v>
          </cell>
          <cell r="J130">
            <v>2.0381990487002004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5.55085072552522E-2</v>
          </cell>
          <cell r="I131">
            <v>1.7938169191250498E-2</v>
          </cell>
          <cell r="J131">
            <v>5.0963852742420698E-2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0.20488330348317002</v>
          </cell>
          <cell r="I132">
            <v>0.16819823328908301</v>
          </cell>
          <cell r="J132">
            <v>0.18446035121773102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0.97658763186933673</v>
          </cell>
          <cell r="I133">
            <v>0.97667466005883963</v>
          </cell>
          <cell r="J133">
            <v>3.0580331500731979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0.97658763186933673</v>
          </cell>
          <cell r="I134">
            <v>0.97667466005883963</v>
          </cell>
          <cell r="J134">
            <v>3.0580331500731979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8.7893768481153795E-8</v>
          </cell>
          <cell r="I135">
            <v>5.8258563608644298E-6</v>
          </cell>
          <cell r="J135">
            <v>0.178706151312223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6.896317759591182E-2</v>
          </cell>
          <cell r="I136">
            <v>6.8969004398243855E-2</v>
          </cell>
          <cell r="J136">
            <v>0.2159386336170564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54.842371503482092</v>
          </cell>
          <cell r="I137">
            <v>54.02411411858909</v>
          </cell>
          <cell r="J137">
            <v>50.458066315869736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18.160627504242544</v>
          </cell>
          <cell r="I138">
            <v>18.269939782968219</v>
          </cell>
          <cell r="J138">
            <v>17.715583548119962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12.293544248547837</v>
          </cell>
          <cell r="I139">
            <v>12.240992693472432</v>
          </cell>
          <cell r="J139">
            <v>11.642732686219992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12.849762135723271</v>
          </cell>
          <cell r="I140">
            <v>12.441956227454567</v>
          </cell>
          <cell r="J140">
            <v>11.095089871592004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11.538437614968442</v>
          </cell>
          <cell r="I141">
            <v>11.071225414693895</v>
          </cell>
          <cell r="J141">
            <v>10.004660209937807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6.4649061080367023</v>
          </cell>
          <cell r="I142">
            <v>6.782061587043783</v>
          </cell>
          <cell r="J142">
            <v>6.2438092402402763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6.4649061080367023</v>
          </cell>
          <cell r="I143">
            <v>6.782061587043783</v>
          </cell>
          <cell r="J143">
            <v>6.2438092402402763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7.8470929283322466</v>
          </cell>
          <cell r="I144">
            <v>8.2320557529901865</v>
          </cell>
          <cell r="J144">
            <v>7.5787258958079926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0.58953201100289598</v>
          </cell>
          <cell r="I145">
            <v>0.19782512718168899</v>
          </cell>
          <cell r="J145">
            <v>0.48253014338158301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0.84969857509454405</v>
          </cell>
          <cell r="I146">
            <v>0.84969898184334047</v>
          </cell>
          <cell r="J146">
            <v>0.84969957480848202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7.2375987386338859E-4</v>
          </cell>
          <cell r="I147">
            <v>1.7388004887537382E-3</v>
          </cell>
          <cell r="J147">
            <v>1.2266247803592287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9.0575481523354369E-4</v>
          </cell>
          <cell r="I148">
            <v>2.0830605573042876E-3</v>
          </cell>
          <cell r="J148">
            <v>1.3629994560507637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8.12327468538281E-2</v>
          </cell>
          <cell r="I149">
            <v>0.116313986478129</v>
          </cell>
          <cell r="J149">
            <v>0.17459606762350199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0.21289583849479568</v>
          </cell>
          <cell r="I150">
            <v>0.22139007168086886</v>
          </cell>
          <cell r="J150">
            <v>0.29336751417038576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8.9850320011218977E-4</v>
          </cell>
          <cell r="I151">
            <v>8.531175446067206E-2</v>
          </cell>
          <cell r="J151">
            <v>9.5921769368964432E-2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18.814396265869497</v>
          </cell>
          <cell r="I152">
            <v>19.689920822231315</v>
          </cell>
          <cell r="J152">
            <v>21.542450675407846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18.815294769069606</v>
          </cell>
          <cell r="I153">
            <v>19.775232576692005</v>
          </cell>
          <cell r="J153">
            <v>21.638372444776792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373.83322957238499</v>
          </cell>
          <cell r="I154">
            <v>323.55532719103201</v>
          </cell>
          <cell r="J154">
            <v>2.3952273584322499E-4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5.6102461991843375</v>
          </cell>
          <cell r="I155">
            <v>4.9394368073730091</v>
          </cell>
          <cell r="J155">
            <v>0.62259461869172605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5.0723640376171657</v>
          </cell>
          <cell r="I156">
            <v>4.390167261750773</v>
          </cell>
          <cell r="J156">
            <v>3.2499692787411855E-6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0.63317125007631136</v>
          </cell>
          <cell r="I157">
            <v>0.63317148751601582</v>
          </cell>
          <cell r="J157">
            <v>0.63317172430976665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0.34220778893486553</v>
          </cell>
          <cell r="I158">
            <v>0.4651883124137583</v>
          </cell>
          <cell r="J158">
            <v>0.35410996501550951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0.34186592301185376</v>
          </cell>
          <cell r="I159">
            <v>0.46472358882493298</v>
          </cell>
          <cell r="J159">
            <v>0.35375620880670289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0.34188130398913114</v>
          </cell>
          <cell r="I160">
            <v>0.46473335950076183</v>
          </cell>
          <cell r="J160">
            <v>0.35376581825920478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1.2245613138593601E-2</v>
          </cell>
          <cell r="I161">
            <v>4.5751548509423798E-2</v>
          </cell>
          <cell r="J161">
            <v>2.98297713048318E-2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6.3699035052263736E-2</v>
          </cell>
          <cell r="I162">
            <v>7.8037539076097631E-2</v>
          </cell>
          <cell r="J162">
            <v>6.8173008462170268E-2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0.53733752485205744</v>
          </cell>
          <cell r="I163">
            <v>0.53734246149993203</v>
          </cell>
          <cell r="J163">
            <v>1.1836111551882158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0.53733752485205744</v>
          </cell>
          <cell r="I164">
            <v>0.53734246149993203</v>
          </cell>
          <cell r="J164">
            <v>1.1836111551882158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2.9985061211901203E-8</v>
          </cell>
          <cell r="I165">
            <v>4.99647142695129E-8</v>
          </cell>
          <cell r="J165">
            <v>6.1644502944281997E-2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3.7946084213765774E-2</v>
          </cell>
          <cell r="I166">
            <v>3.7946134884773199E-2</v>
          </cell>
          <cell r="J166">
            <v>8.3578980262005234E-2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9.9703638209326238E-4</v>
          </cell>
          <cell r="I167">
            <v>1.0860936240695417E-3</v>
          </cell>
          <cell r="J167">
            <v>1.062281398059528E-3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9.9703638209326238E-4</v>
          </cell>
          <cell r="I168">
            <v>1.0860936240695417E-3</v>
          </cell>
          <cell r="J168">
            <v>1.062281398059528E-3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6.0851101332495996E-8</v>
          </cell>
          <cell r="I169">
            <v>7.1916305077213601E-6</v>
          </cell>
          <cell r="J169">
            <v>2.94628088190122E-8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7.4947232798502005E-5</v>
          </cell>
          <cell r="I170">
            <v>8.2142269952438022E-5</v>
          </cell>
          <cell r="J170">
            <v>8.2212917523448499E-5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0.55441491597905113</v>
          </cell>
          <cell r="I171">
            <v>0.55441969949194569</v>
          </cell>
          <cell r="J171">
            <v>0.32053332550540004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0.55441491597905113</v>
          </cell>
          <cell r="I172">
            <v>0.55441969949194569</v>
          </cell>
          <cell r="J172">
            <v>0.32053332550540004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2.5086668115754899E-8</v>
          </cell>
          <cell r="I173">
            <v>3.9083599751545602E-8</v>
          </cell>
          <cell r="J173">
            <v>2.6401996064026598E-7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3.9151971776684072E-2</v>
          </cell>
          <cell r="I174">
            <v>3.9152011628995419E-2</v>
          </cell>
          <cell r="J174">
            <v>2.2633968266502311E-2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10.309930429931626</v>
          </cell>
          <cell r="I175">
            <v>6.061524547567088</v>
          </cell>
          <cell r="J175">
            <v>1.7964717055928132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717.62147458235302</v>
          </cell>
          <cell r="I176">
            <v>420.99644839439799</v>
          </cell>
          <cell r="J176">
            <v>124.232953955056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12.723785010325418</v>
          </cell>
          <cell r="I177">
            <v>7.4644760353616624</v>
          </cell>
          <cell r="J177">
            <v>2.2027119495577239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0.26974190560910999</v>
          </cell>
          <cell r="I178">
            <v>7.2097669786983995E-2</v>
          </cell>
          <cell r="J178">
            <v>2.74091146042438E-6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0.58936278782869045</v>
          </cell>
          <cell r="I179">
            <v>0.34183967062529297</v>
          </cell>
          <cell r="J179">
            <v>0.13113383677486759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1.2093153115548561E-4</v>
          </cell>
          <cell r="I180">
            <v>1.4636285558115907E-4</v>
          </cell>
          <cell r="J180">
            <v>2.603675461747233E-4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1.2093153115548561E-4</v>
          </cell>
          <cell r="I181">
            <v>1.4636285558115907E-4</v>
          </cell>
          <cell r="J181">
            <v>2.603675461747233E-4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5.7366556235066002E-5</v>
          </cell>
          <cell r="I182">
            <v>5.3828698148958601E-5</v>
          </cell>
          <cell r="J182">
            <v>4.1957228454733902E-5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4.3061178065173012E-4</v>
          </cell>
          <cell r="I183">
            <v>1.1402006858432063E-4</v>
          </cell>
          <cell r="J183">
            <v>1.051006455497009E-4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0.51752669625139613</v>
          </cell>
          <cell r="I184">
            <v>0.53429190981782171</v>
          </cell>
          <cell r="J184">
            <v>0.4203626417364888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0.51752669625139613</v>
          </cell>
          <cell r="I185">
            <v>0.53429190981782171</v>
          </cell>
          <cell r="J185">
            <v>0.4203626417364888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0.70146200297760564</v>
          </cell>
          <cell r="I186">
            <v>0.72418577814482854</v>
          </cell>
          <cell r="J186">
            <v>0.56539536769064613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1.6670472541122201E-2</v>
          </cell>
          <cell r="I187">
            <v>2.1077455989138402E-2</v>
          </cell>
          <cell r="J187">
            <v>7.3970690304604797E-3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3.65693342505359E-2</v>
          </cell>
          <cell r="I188">
            <v>3.7748072682470567E-2</v>
          </cell>
          <cell r="J188">
            <v>2.9745091660796592E-2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4.8028701616862029E-4</v>
          </cell>
          <cell r="I189">
            <v>4.782636276831357E-4</v>
          </cell>
          <cell r="J189">
            <v>2.9161948590271256E-4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4.8028701616862029E-4</v>
          </cell>
          <cell r="I190">
            <v>4.782636276831357E-4</v>
          </cell>
          <cell r="J190">
            <v>2.9161948590271256E-4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2.27033932148165E-8</v>
          </cell>
          <cell r="I191">
            <v>3.2186516882402899E-8</v>
          </cell>
          <cell r="J191">
            <v>1.51076159926426E-7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3.4226692722776372E-5</v>
          </cell>
          <cell r="I192">
            <v>3.4251497350341298E-5</v>
          </cell>
          <cell r="J192">
            <v>2.0014650312297646E-5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1.5855484988618691E-4</v>
          </cell>
          <cell r="I193">
            <v>1.5263686538867193E-4</v>
          </cell>
          <cell r="J193">
            <v>9.859017209717408E-5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1.5855484988618691E-4</v>
          </cell>
          <cell r="I194">
            <v>1.5263686538867193E-4</v>
          </cell>
          <cell r="J194">
            <v>9.859017209717408E-5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1.88657229659324E-8</v>
          </cell>
          <cell r="I195">
            <v>2.4565395331063002E-8</v>
          </cell>
          <cell r="J195">
            <v>7.0571657216938497E-8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1.00517926998041E-5</v>
          </cell>
          <cell r="I196">
            <v>1.006905938893032E-5</v>
          </cell>
          <cell r="J196">
            <v>5.9490725606123277E-6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3.8157474722176155E-5</v>
          </cell>
          <cell r="I197">
            <v>2.9746132625984654E-5</v>
          </cell>
          <cell r="J197">
            <v>2.0145127031973171E-5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3.8157474722176155E-5</v>
          </cell>
          <cell r="I198">
            <v>2.9746132625984654E-5</v>
          </cell>
          <cell r="J198">
            <v>2.0145127031973171E-5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1.10044503664752E-8</v>
          </cell>
          <cell r="I199">
            <v>1.4759707574996801E-8</v>
          </cell>
          <cell r="J199">
            <v>3.38512059179005E-8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1.8126191034457601E-7</v>
          </cell>
          <cell r="I200">
            <v>1.96021617919573E-7</v>
          </cell>
          <cell r="J200">
            <v>1.71295571091415E-7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31.373318189598901</v>
          </cell>
          <cell r="I201">
            <v>34.228293553789094</v>
          </cell>
          <cell r="J201">
            <v>33.020657171235683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9.2319611168144871</v>
          </cell>
          <cell r="I202">
            <v>9.5309239736659901</v>
          </cell>
          <cell r="J202">
            <v>8.3103681306176185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31.373318189598901</v>
          </cell>
          <cell r="I203">
            <v>34.228293553789094</v>
          </cell>
          <cell r="J203">
            <v>33.020657171235683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0.837425306481274</v>
          </cell>
          <cell r="I204">
            <v>1.34821177087899</v>
          </cell>
          <cell r="J204">
            <v>1.3349956254473301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2.5345829185195203</v>
          </cell>
          <cell r="I205">
            <v>2.7652271574514726</v>
          </cell>
          <cell r="J205">
            <v>2.667664466138258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12.140650086576889</v>
          </cell>
          <cell r="I206">
            <v>15.345920774018888</v>
          </cell>
          <cell r="J206">
            <v>18.210878602394548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5.2330971462791211</v>
          </cell>
          <cell r="I207">
            <v>6.2224891893617515</v>
          </cell>
          <cell r="J207">
            <v>6.6339890471684289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0.37594910958609601</v>
          </cell>
          <cell r="I208">
            <v>0.45730298511786099</v>
          </cell>
          <cell r="J208">
            <v>0.75380380188545504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0.82981596450149064</v>
          </cell>
          <cell r="I209">
            <v>1.048892623316884</v>
          </cell>
          <cell r="J209">
            <v>1.2447082707614534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6.8339502039362454</v>
          </cell>
          <cell r="I210">
            <v>7.6033171260728922</v>
          </cell>
          <cell r="J210">
            <v>7.5687215373388161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1.2073113336348541E-2</v>
          </cell>
          <cell r="I211">
            <v>1.5582429797170252E-2</v>
          </cell>
          <cell r="J211">
            <v>3.6964109398373321E-4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6.8460233172725982</v>
          </cell>
          <cell r="I212">
            <v>7.6188995558700601</v>
          </cell>
          <cell r="J212">
            <v>7.5690911784327986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3.5793018957386545E-5</v>
          </cell>
          <cell r="I213">
            <v>2.7186818971618058E-5</v>
          </cell>
          <cell r="J213">
            <v>1.7953599379285034E-5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3.5793018957386545E-5</v>
          </cell>
          <cell r="I214">
            <v>2.7186818971618058E-5</v>
          </cell>
          <cell r="J214">
            <v>1.7953599379285034E-5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/>
          <cell r="I215"/>
          <cell r="J215"/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19.289192228730602</v>
          </cell>
          <cell r="I216">
            <v>25.290927988043766</v>
          </cell>
          <cell r="J216">
            <v>27.301901029486569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19.289192228730602</v>
          </cell>
          <cell r="I217">
            <v>25.290927988043766</v>
          </cell>
          <cell r="J217">
            <v>27.301901029486569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5.5145683277142101</v>
          </cell>
          <cell r="I218">
            <v>6.8880512963526694</v>
          </cell>
          <cell r="J218">
            <v>6.9989553513627305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0.71061941209212698</v>
          </cell>
          <cell r="I219">
            <v>0.78748052911021804</v>
          </cell>
          <cell r="J219">
            <v>1.25170446402409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1.491217909370808</v>
          </cell>
          <cell r="I220">
            <v>1.954966062794073</v>
          </cell>
          <cell r="J220">
            <v>2.1237935545630275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0.16902793225635313</v>
          </cell>
          <cell r="I221"/>
          <cell r="J221"/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2.0353951478366125E-3</v>
          </cell>
          <cell r="I222"/>
          <cell r="J222"/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0.17105557250232589</v>
          </cell>
          <cell r="I223"/>
          <cell r="J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H224">
            <v>1.0260765974044456E-2</v>
          </cell>
          <cell r="I224">
            <v>1.0474532526448387E-2</v>
          </cell>
          <cell r="J224">
            <v>8.6286177045835095E-3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H225">
            <v>1.0800806288467862E-2</v>
          </cell>
          <cell r="I225">
            <v>1.1025823712050945E-2</v>
          </cell>
          <cell r="J225">
            <v>9.0827554785089682E-3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H226">
            <v>1.57382024507546E-3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H227">
            <v>4.1829473826094001E-3</v>
          </cell>
          <cell r="I227">
            <v>1.5736970829296748E-3</v>
          </cell>
          <cell r="J227">
            <v>6.6555611664751834E-4</v>
          </cell>
        </row>
        <row r="228">
          <cell r="A228" t="str">
            <v>ITOT-SWHSTG-SOL</v>
          </cell>
          <cell r="B228" t="str">
            <v>VAR_fout</v>
          </cell>
          <cell r="C228" t="str">
            <v>ITOT-SWHASOL</v>
          </cell>
          <cell r="H228">
            <v>2.3798331353378719E-4</v>
          </cell>
          <cell r="I228">
            <v>4.0245297561322988E-4</v>
          </cell>
          <cell r="J228">
            <v>4.3830897011291528E-4</v>
          </cell>
        </row>
        <row r="229">
          <cell r="A229" t="str">
            <v>ITOT-SWHSTG-SOL</v>
          </cell>
          <cell r="B229" t="str">
            <v>VAR_fin</v>
          </cell>
          <cell r="C229" t="str">
            <v>ITOT-SWHASOL</v>
          </cell>
          <cell r="H229">
            <v>2.3990734443505226E-4</v>
          </cell>
          <cell r="I229">
            <v>4.3852831190053224E-4</v>
          </cell>
          <cell r="J229">
            <v>4.6419101774371321E-4</v>
          </cell>
        </row>
        <row r="230">
          <cell r="A230" t="str">
            <v>ITOT-SWHSTG-SOL</v>
          </cell>
          <cell r="B230" t="str">
            <v>VAR_ncap</v>
          </cell>
          <cell r="C230" t="str">
            <v>-</v>
          </cell>
          <cell r="H230">
            <v>9.8194357551868594E-6</v>
          </cell>
          <cell r="I230">
            <v>3.5602430903330103E-5</v>
          </cell>
          <cell r="J230">
            <v>5.3505970433719303E-7</v>
          </cell>
        </row>
        <row r="231">
          <cell r="A231" t="str">
            <v>ITOT-SWHSTG-SOL</v>
          </cell>
          <cell r="B231" t="str">
            <v>VAR_cap</v>
          </cell>
          <cell r="C231" t="str">
            <v>-</v>
          </cell>
          <cell r="H231">
            <v>2.4574965837666401E-5</v>
          </cell>
          <cell r="I231">
            <v>4.8609313398936097E-5</v>
          </cell>
          <cell r="J231">
            <v>3.0526506146007301E-5</v>
          </cell>
        </row>
        <row r="232">
          <cell r="A232" t="str">
            <v>RHES-SHLTHCHPNGA</v>
          </cell>
          <cell r="B232" t="str">
            <v>VAR_fout</v>
          </cell>
          <cell r="C232" t="str">
            <v>RHES-SHLTHC-NGA</v>
          </cell>
          <cell r="H232"/>
          <cell r="I232"/>
          <cell r="J232"/>
        </row>
        <row r="233">
          <cell r="A233" t="str">
            <v>RHES-SHLTHCHPNGA</v>
          </cell>
          <cell r="B233" t="str">
            <v>VAR_fin</v>
          </cell>
          <cell r="C233" t="str">
            <v>RHESLTHCHPC</v>
          </cell>
          <cell r="H233"/>
          <cell r="I233"/>
          <cell r="J233"/>
        </row>
        <row r="234">
          <cell r="A234" t="str">
            <v>RHES-SHLTHCHPNGA</v>
          </cell>
          <cell r="B234" t="str">
            <v>VAR_fin</v>
          </cell>
          <cell r="C234" t="str">
            <v>RHES_LTH_CHPNGA_ON</v>
          </cell>
          <cell r="H234"/>
          <cell r="I234"/>
          <cell r="J234"/>
        </row>
        <row r="235">
          <cell r="A235" t="str">
            <v>RHES-SHLTHCHPNGA</v>
          </cell>
          <cell r="B235" t="str">
            <v>VAR_ncap</v>
          </cell>
          <cell r="C235" t="str">
            <v>-</v>
          </cell>
          <cell r="H235">
            <v>4.2551411679315299E-4</v>
          </cell>
          <cell r="I235">
            <v>1.08040965701045E-4</v>
          </cell>
          <cell r="J235">
            <v>1.2385141440787399E-8</v>
          </cell>
        </row>
        <row r="236">
          <cell r="A236" t="str">
            <v>RHES-SHLTHCHPNGA</v>
          </cell>
          <cell r="B236" t="str">
            <v>VAR_cap</v>
          </cell>
          <cell r="C236" t="str">
            <v>-</v>
          </cell>
          <cell r="H236">
            <v>8.0389371248624011E-4</v>
          </cell>
          <cell r="I236">
            <v>2.4686418958010201E-4</v>
          </cell>
          <cell r="J236"/>
        </row>
        <row r="237">
          <cell r="A237" t="str">
            <v>RHSA-WHSTG-ELC</v>
          </cell>
          <cell r="B237" t="str">
            <v>VAR_fout</v>
          </cell>
          <cell r="C237" t="str">
            <v>RHSA-WHAELCB</v>
          </cell>
          <cell r="H237">
            <v>0.30405557387345827</v>
          </cell>
          <cell r="I237">
            <v>0.340037358595626</v>
          </cell>
          <cell r="J237">
            <v>0.28019946394168083</v>
          </cell>
        </row>
        <row r="238">
          <cell r="A238" t="str">
            <v>RHSA-WHSTG-ELC</v>
          </cell>
          <cell r="B238" t="str">
            <v>VAR_fout</v>
          </cell>
          <cell r="C238" t="str">
            <v>AUX_RHSA-WHSTG-ELC_OUT</v>
          </cell>
          <cell r="H238">
            <v>0.30435962944733169</v>
          </cell>
          <cell r="I238">
            <v>0.34037739595422162</v>
          </cell>
          <cell r="J238">
            <v>0.28047966340562258</v>
          </cell>
        </row>
        <row r="239">
          <cell r="A239" t="str">
            <v>RHSA-WHSTG-ELC</v>
          </cell>
          <cell r="B239" t="str">
            <v>VAR_fin</v>
          </cell>
          <cell r="C239" t="str">
            <v>RHSA-WHAELCB</v>
          </cell>
          <cell r="H239">
            <v>0.30405545018789482</v>
          </cell>
          <cell r="I239">
            <v>0.3400374944114361</v>
          </cell>
          <cell r="J239">
            <v>0.28019954212362619</v>
          </cell>
        </row>
        <row r="240">
          <cell r="A240" t="str">
            <v>RHSA-WHSTG-ELC</v>
          </cell>
          <cell r="B240" t="str">
            <v>VAR_ncap</v>
          </cell>
          <cell r="C240" t="str">
            <v>-</v>
          </cell>
          <cell r="H240">
            <v>1.4617415246506E-2</v>
          </cell>
          <cell r="I240">
            <v>1.53336279666801E-2</v>
          </cell>
          <cell r="J240">
            <v>8.4293197907843193E-3</v>
          </cell>
        </row>
        <row r="241">
          <cell r="A241" t="str">
            <v>RHSA-WHSTG-ELC</v>
          </cell>
          <cell r="B241" t="str">
            <v>VAR_cap</v>
          </cell>
          <cell r="C241" t="str">
            <v>-</v>
          </cell>
          <cell r="H241">
            <v>2.9880020395734327E-2</v>
          </cell>
          <cell r="I241">
            <v>2.994121767396352E-2</v>
          </cell>
          <cell r="J241">
            <v>2.5704893283720723E-2</v>
          </cell>
        </row>
        <row r="242">
          <cell r="A242" t="str">
            <v>ITOT-SWHLFOBR</v>
          </cell>
          <cell r="B242" t="str">
            <v>VAR_fout</v>
          </cell>
          <cell r="C242" t="str">
            <v>ITOT-SWH</v>
          </cell>
          <cell r="H242">
            <v>3.9035845161052674</v>
          </cell>
          <cell r="I242">
            <v>3.9023510070094689</v>
          </cell>
          <cell r="J242">
            <v>0.49578979730182415</v>
          </cell>
        </row>
        <row r="243">
          <cell r="A243" t="str">
            <v>ITOT-SWHLFOBR</v>
          </cell>
          <cell r="B243" t="str">
            <v>VAR_fout</v>
          </cell>
          <cell r="C243" t="str">
            <v>CO2_I</v>
          </cell>
          <cell r="H243">
            <v>365.60668888275598</v>
          </cell>
          <cell r="I243">
            <v>364.03649270339002</v>
          </cell>
          <cell r="J243">
            <v>45.885223397580198</v>
          </cell>
        </row>
        <row r="244">
          <cell r="A244" t="str">
            <v>ITOT-SWHLFOBR</v>
          </cell>
          <cell r="B244" t="str">
            <v>VAR_fin</v>
          </cell>
          <cell r="C244" t="str">
            <v>ILFO</v>
          </cell>
          <cell r="H244">
            <v>4.9607420472558461</v>
          </cell>
          <cell r="I244">
            <v>4.9394368073730091</v>
          </cell>
          <cell r="J244">
            <v>0.62259461869172605</v>
          </cell>
        </row>
        <row r="245">
          <cell r="A245" t="str">
            <v>ITOT-SWHLFOBR</v>
          </cell>
          <cell r="B245" t="str">
            <v>VAR_ncap</v>
          </cell>
          <cell r="C245" t="str">
            <v>-</v>
          </cell>
          <cell r="H245">
            <v>0.144632336813561</v>
          </cell>
          <cell r="I245">
            <v>8.4550640659706994E-2</v>
          </cell>
          <cell r="J245">
            <v>4.6258366888863301E-6</v>
          </cell>
        </row>
        <row r="246">
          <cell r="A246" t="str">
            <v>ITOT-SWHLFOBR</v>
          </cell>
          <cell r="B246" t="str">
            <v>VAR_cap</v>
          </cell>
          <cell r="C246" t="str">
            <v>-</v>
          </cell>
          <cell r="H246">
            <v>0.24217019953370894</v>
          </cell>
          <cell r="I246">
            <v>0.22918358127564228</v>
          </cell>
          <cell r="J246">
            <v>3.8261310334269799E-2</v>
          </cell>
        </row>
        <row r="247">
          <cell r="A247" t="str">
            <v>D-SCOM_LTH_CHPNGA</v>
          </cell>
          <cell r="B247" t="str">
            <v>VAR_fout</v>
          </cell>
          <cell r="C247" t="str">
            <v>LTH</v>
          </cell>
          <cell r="H247"/>
          <cell r="I247"/>
          <cell r="J247"/>
        </row>
        <row r="248">
          <cell r="A248" t="str">
            <v>D-SCOM_LTH_CHPNGA</v>
          </cell>
          <cell r="B248" t="str">
            <v>VAR_fout</v>
          </cell>
          <cell r="C248" t="str">
            <v>SCOM_LTH_CHPNGA_ON</v>
          </cell>
          <cell r="H248"/>
          <cell r="I248"/>
          <cell r="J248"/>
        </row>
        <row r="249">
          <cell r="A249" t="str">
            <v>D-SCOM_LTH_CHPNGA</v>
          </cell>
          <cell r="B249" t="str">
            <v>VAR_fin</v>
          </cell>
          <cell r="C249" t="str">
            <v>SCOM_LTH_CHPNGA</v>
          </cell>
          <cell r="H249"/>
          <cell r="I249"/>
          <cell r="J249"/>
        </row>
        <row r="250">
          <cell r="A250" t="str">
            <v>D-IWOD</v>
          </cell>
          <cell r="B250" t="str">
            <v>VAR_fout</v>
          </cell>
          <cell r="C250" t="str">
            <v>IWOD</v>
          </cell>
          <cell r="H250">
            <v>14.285273610981939</v>
          </cell>
          <cell r="I250">
            <v>17.344839035472877</v>
          </cell>
          <cell r="J250">
            <v>15.925092455378961</v>
          </cell>
        </row>
        <row r="251">
          <cell r="A251" t="str">
            <v>D-IWOD</v>
          </cell>
          <cell r="B251" t="str">
            <v>VAR_fin</v>
          </cell>
          <cell r="C251" t="str">
            <v>WOD</v>
          </cell>
          <cell r="H251">
            <v>14.285273610981939</v>
          </cell>
          <cell r="I251">
            <v>17.344839035472877</v>
          </cell>
          <cell r="J251">
            <v>15.925092455378961</v>
          </cell>
        </row>
        <row r="252">
          <cell r="A252" t="str">
            <v>SCOM-ELCSPEC</v>
          </cell>
          <cell r="B252" t="str">
            <v>VAR_fout</v>
          </cell>
          <cell r="C252" t="str">
            <v>SCOM-ELS</v>
          </cell>
          <cell r="H252">
            <v>34.980164940131537</v>
          </cell>
          <cell r="I252">
            <v>31.979274368622125</v>
          </cell>
          <cell r="J252">
            <v>27.411828757540007</v>
          </cell>
        </row>
        <row r="253">
          <cell r="A253" t="str">
            <v>SCOM-ELCSPEC</v>
          </cell>
          <cell r="B253" t="str">
            <v>VAR_fin</v>
          </cell>
          <cell r="C253" t="str">
            <v>SCOM_ELC</v>
          </cell>
          <cell r="H253">
            <v>34.980164940131537</v>
          </cell>
          <cell r="I253">
            <v>31.979274368622125</v>
          </cell>
          <cell r="J253">
            <v>27.411828757540007</v>
          </cell>
        </row>
        <row r="254">
          <cell r="A254" t="str">
            <v>SCOM-ELCSPEC</v>
          </cell>
          <cell r="B254" t="str">
            <v>VAR_ncap</v>
          </cell>
          <cell r="C254" t="str">
            <v>-</v>
          </cell>
          <cell r="H254">
            <v>8.9232093671176702E-7</v>
          </cell>
          <cell r="I254">
            <v>1.1236657323045199E-6</v>
          </cell>
          <cell r="J254">
            <v>2.5971565519571902</v>
          </cell>
        </row>
        <row r="255">
          <cell r="A255" t="str">
            <v>SCOM-ELCSPEC</v>
          </cell>
          <cell r="B255" t="str">
            <v>VAR_cap</v>
          </cell>
          <cell r="C255" t="str">
            <v>-</v>
          </cell>
          <cell r="H255">
            <v>3.6973811201717854</v>
          </cell>
          <cell r="I255">
            <v>3.3801890362293974</v>
          </cell>
          <cell r="J255">
            <v>2.8974114933221289</v>
          </cell>
        </row>
        <row r="256">
          <cell r="A256" t="str">
            <v>D-ITOT_KEV_WST_ELC_CHP</v>
          </cell>
          <cell r="B256" t="str">
            <v>VAR_fout</v>
          </cell>
          <cell r="C256" t="str">
            <v>ITOT_ELC</v>
          </cell>
          <cell r="H256">
            <v>3.2275653042709211E-4</v>
          </cell>
          <cell r="I256">
            <v>7.2597303914633702E-3</v>
          </cell>
          <cell r="J256">
            <v>0.28820754494948292</v>
          </cell>
        </row>
        <row r="257">
          <cell r="A257" t="str">
            <v>D-ITOT_KEV_WST_ELC_CHP</v>
          </cell>
          <cell r="B257" t="str">
            <v>VAR_fout</v>
          </cell>
          <cell r="C257" t="str">
            <v>ELC5</v>
          </cell>
          <cell r="H257">
            <v>2.8488447704122928E-4</v>
          </cell>
          <cell r="I257">
            <v>1.0506897086547404E-3</v>
          </cell>
          <cell r="J257">
            <v>3.5882178053798651E-3</v>
          </cell>
        </row>
        <row r="258">
          <cell r="A258" t="str">
            <v>D-ITOT_KEV_WST_ELC_CHP</v>
          </cell>
          <cell r="B258" t="str">
            <v>VAR_fin</v>
          </cell>
          <cell r="C258" t="str">
            <v>ITOT_KEV_WST_ELC_CHP</v>
          </cell>
          <cell r="H258">
            <v>5.9988151124416161E-4</v>
          </cell>
          <cell r="I258">
            <v>8.3104201001181054E-3</v>
          </cell>
          <cell r="J258">
            <v>0.29179576275486269</v>
          </cell>
        </row>
        <row r="259">
          <cell r="A259" t="str">
            <v>D-RHNM_SOLELC</v>
          </cell>
          <cell r="B259" t="str">
            <v>VAR_fout</v>
          </cell>
          <cell r="C259" t="str">
            <v>ELC5</v>
          </cell>
          <cell r="H259">
            <v>2.3744469242580334E-4</v>
          </cell>
          <cell r="I259">
            <v>2.29124819303379E-4</v>
          </cell>
          <cell r="J259">
            <v>1.6921341369459652E-4</v>
          </cell>
        </row>
        <row r="260">
          <cell r="A260" t="str">
            <v>D-RHNM_SOLELC</v>
          </cell>
          <cell r="B260" t="str">
            <v>VAR_fout</v>
          </cell>
          <cell r="C260" t="str">
            <v>RHNM_ELC</v>
          </cell>
          <cell r="H260">
            <v>6.7777259396266409E-4</v>
          </cell>
          <cell r="I260">
            <v>8.1403158445791381E-4</v>
          </cell>
          <cell r="J260">
            <v>9.2449161998284593E-4</v>
          </cell>
        </row>
        <row r="261">
          <cell r="A261" t="str">
            <v>D-RHNM_SOLELC</v>
          </cell>
          <cell r="B261" t="str">
            <v>VAR_fin</v>
          </cell>
          <cell r="C261" t="str">
            <v>RHNM_SOL_ELC</v>
          </cell>
          <cell r="H261">
            <v>9.1521728638846737E-4</v>
          </cell>
          <cell r="I261">
            <v>1.0431564037612934E-3</v>
          </cell>
          <cell r="J261">
            <v>1.0937160010245142E-3</v>
          </cell>
        </row>
        <row r="262">
          <cell r="A262" t="str">
            <v>RHNM-SHSTG-ELCHP</v>
          </cell>
          <cell r="B262" t="str">
            <v>VAR_fout</v>
          </cell>
          <cell r="C262" t="str">
            <v>AUX_RHNM-SHSTG-ELCHP_OUT</v>
          </cell>
          <cell r="H262">
            <v>0.29703985620161172</v>
          </cell>
          <cell r="I262">
            <v>0.39614461841300619</v>
          </cell>
          <cell r="J262">
            <v>0.48831935970148344</v>
          </cell>
        </row>
        <row r="263">
          <cell r="A263" t="str">
            <v>RHNM-SHSTG-ELCHP</v>
          </cell>
          <cell r="B263" t="str">
            <v>VAR_fout</v>
          </cell>
          <cell r="C263" t="str">
            <v>RHNM-SHAELCH</v>
          </cell>
          <cell r="H263">
            <v>0.29674311308852308</v>
          </cell>
          <cell r="I263">
            <v>0.39574886954346278</v>
          </cell>
          <cell r="J263">
            <v>0.48783152817330971</v>
          </cell>
        </row>
        <row r="264">
          <cell r="A264" t="str">
            <v>RHNM-SHSTG-ELCHP</v>
          </cell>
          <cell r="B264" t="str">
            <v>VAR_fin</v>
          </cell>
          <cell r="C264" t="str">
            <v>RHNM-SHAELCH</v>
          </cell>
          <cell r="H264">
            <v>0.29674461826548543</v>
          </cell>
          <cell r="I264">
            <v>0.39575198423831415</v>
          </cell>
          <cell r="J264">
            <v>0.487834751433458</v>
          </cell>
        </row>
        <row r="265">
          <cell r="A265" t="str">
            <v>RHNM-SHSTG-ELCHP</v>
          </cell>
          <cell r="B265" t="str">
            <v>VAR_ncap</v>
          </cell>
          <cell r="C265" t="str">
            <v>-</v>
          </cell>
          <cell r="H265">
            <v>1.0053315302015401E-2</v>
          </cell>
          <cell r="I265">
            <v>2.61311212086664E-2</v>
          </cell>
          <cell r="J265">
            <v>3.6711035718159299E-2</v>
          </cell>
        </row>
        <row r="266">
          <cell r="A266" t="str">
            <v>RHNM-SHSTG-ELCHP</v>
          </cell>
          <cell r="B266" t="str">
            <v>VAR_cap</v>
          </cell>
          <cell r="C266" t="str">
            <v>-</v>
          </cell>
          <cell r="H266">
            <v>3.9127038139281124E-2</v>
          </cell>
          <cell r="I266">
            <v>4.7330200811843116E-2</v>
          </cell>
          <cell r="J266">
            <v>5.9888165644786565E-2</v>
          </cell>
        </row>
        <row r="267">
          <cell r="A267" t="str">
            <v>D-SCOM_LTH</v>
          </cell>
          <cell r="B267" t="str">
            <v>VAR_fout</v>
          </cell>
          <cell r="C267" t="str">
            <v>SCOM_LTH_DH</v>
          </cell>
          <cell r="H267">
            <v>7.8470929283322466</v>
          </cell>
          <cell r="I267">
            <v>8.2320557529901865</v>
          </cell>
          <cell r="J267">
            <v>7.5787258958079926</v>
          </cell>
        </row>
        <row r="268">
          <cell r="A268" t="str">
            <v>D-SCOM_LTH</v>
          </cell>
          <cell r="B268" t="str">
            <v>VAR_fin</v>
          </cell>
          <cell r="C268" t="str">
            <v>LTH</v>
          </cell>
          <cell r="H268">
            <v>8.5139909116890724</v>
          </cell>
          <cell r="I268">
            <v>8.9258158998469277</v>
          </cell>
          <cell r="J268">
            <v>8.2066677693282859</v>
          </cell>
        </row>
        <row r="269">
          <cell r="A269" t="str">
            <v>D-SCOM_LTH</v>
          </cell>
          <cell r="B269" t="str">
            <v>VAR_ncap</v>
          </cell>
          <cell r="C269" t="str">
            <v>-</v>
          </cell>
          <cell r="H269">
            <v>4.6002140371361799E-8</v>
          </cell>
          <cell r="I269">
            <v>6.4219205855815597E-8</v>
          </cell>
          <cell r="J269">
            <v>8.7311486932791496E-8</v>
          </cell>
        </row>
        <row r="270">
          <cell r="A270" t="str">
            <v>D-SCOM_LTH</v>
          </cell>
          <cell r="B270" t="str">
            <v>VAR_cap</v>
          </cell>
          <cell r="C270" t="str">
            <v>-</v>
          </cell>
          <cell r="H270">
            <v>0.84970037642718599</v>
          </cell>
          <cell r="I270">
            <v>0.84970044064639105</v>
          </cell>
          <cell r="J270">
            <v>0.84970052795787798</v>
          </cell>
        </row>
        <row r="271">
          <cell r="A271" t="str">
            <v>ITOT-SWHBIOBR</v>
          </cell>
          <cell r="B271" t="str">
            <v>VAR_fout</v>
          </cell>
          <cell r="C271" t="str">
            <v>ITOT-SWH</v>
          </cell>
          <cell r="H271">
            <v>7.7201472501102311</v>
          </cell>
          <cell r="I271">
            <v>8.0252737287385383</v>
          </cell>
          <cell r="J271">
            <v>8.5315836098224977</v>
          </cell>
        </row>
        <row r="272">
          <cell r="A272" t="str">
            <v>ITOT-SWHBIOBR</v>
          </cell>
          <cell r="B272" t="str">
            <v>VAR_fin</v>
          </cell>
          <cell r="C272" t="str">
            <v>IBIO</v>
          </cell>
          <cell r="H272">
            <v>10.858153656976414</v>
          </cell>
          <cell r="I272">
            <v>11.287304822417072</v>
          </cell>
          <cell r="J272">
            <v>11.849421680309014</v>
          </cell>
        </row>
        <row r="273">
          <cell r="A273" t="str">
            <v>ITOT-SWHBIOBR</v>
          </cell>
          <cell r="B273" t="str">
            <v>VAR_ncap</v>
          </cell>
          <cell r="C273" t="str">
            <v>-</v>
          </cell>
          <cell r="H273">
            <v>0.114652697729808</v>
          </cell>
          <cell r="I273">
            <v>0.227033336501231</v>
          </cell>
          <cell r="J273">
            <v>0.33302935426291302</v>
          </cell>
        </row>
        <row r="274">
          <cell r="A274" t="str">
            <v>ITOT-SWHBIOBR</v>
          </cell>
          <cell r="B274" t="str">
            <v>VAR_cap</v>
          </cell>
          <cell r="C274" t="str">
            <v>-</v>
          </cell>
          <cell r="H274">
            <v>0.43324623585041055</v>
          </cell>
          <cell r="I274">
            <v>0.47601502152062258</v>
          </cell>
          <cell r="J274">
            <v>0.54628127970226303</v>
          </cell>
        </row>
        <row r="275">
          <cell r="A275" t="str">
            <v>RHNS-SHPLTBR</v>
          </cell>
          <cell r="B275" t="str">
            <v>VAR_fout</v>
          </cell>
          <cell r="C275" t="str">
            <v>RHNS-SHPLT</v>
          </cell>
          <cell r="H275">
            <v>1.3545331179294606E-2</v>
          </cell>
          <cell r="I275">
            <v>1.4278994774326287E-2</v>
          </cell>
          <cell r="J275">
            <v>1.6969112938864096E-2</v>
          </cell>
        </row>
        <row r="276">
          <cell r="A276" t="str">
            <v>RHNS-SHPLTBR</v>
          </cell>
          <cell r="B276" t="str">
            <v>VAR_fin</v>
          </cell>
          <cell r="C276" t="str">
            <v>RPLT</v>
          </cell>
          <cell r="H276">
            <v>1.7727312247112496E-2</v>
          </cell>
          <cell r="I276">
            <v>1.8648588700390375E-2</v>
          </cell>
          <cell r="J276">
            <v>2.2120091730133472E-2</v>
          </cell>
        </row>
        <row r="277">
          <cell r="A277" t="str">
            <v>RHNS-SHPLTBR</v>
          </cell>
          <cell r="B277" t="str">
            <v>VAR_ncap</v>
          </cell>
          <cell r="C277" t="str">
            <v>-</v>
          </cell>
          <cell r="H277">
            <v>3.1953459237896203E-5</v>
          </cell>
          <cell r="I277">
            <v>4.2060956082833197E-4</v>
          </cell>
          <cell r="J277">
            <v>9.28619619694725E-4</v>
          </cell>
        </row>
        <row r="278">
          <cell r="A278" t="str">
            <v>RHNS-SHPLTBR</v>
          </cell>
          <cell r="B278" t="str">
            <v>VAR_cap</v>
          </cell>
          <cell r="C278" t="str">
            <v>-</v>
          </cell>
          <cell r="H278">
            <v>1.0152653504496903E-3</v>
          </cell>
          <cell r="I278">
            <v>1.0539753242174866E-3</v>
          </cell>
          <cell r="J278">
            <v>1.247297489684692E-3</v>
          </cell>
        </row>
        <row r="279">
          <cell r="A279" t="str">
            <v>D-RHNM_KEV_WOD_ELC_CHP</v>
          </cell>
          <cell r="B279" t="str">
            <v>VAR_fout</v>
          </cell>
          <cell r="C279" t="str">
            <v>ELC5</v>
          </cell>
          <cell r="H279">
            <v>1.0089616957894691E-3</v>
          </cell>
          <cell r="I279">
            <v>7.5216591471281944E-4</v>
          </cell>
          <cell r="J279">
            <v>3.1744178266051524E-4</v>
          </cell>
        </row>
        <row r="280">
          <cell r="A280" t="str">
            <v>D-RHNM_KEV_WOD_ELC_CHP</v>
          </cell>
          <cell r="B280" t="str">
            <v>VAR_fout</v>
          </cell>
          <cell r="C280" t="str">
            <v>RHNM_ELC</v>
          </cell>
          <cell r="H280">
            <v>5.668880487990121E-2</v>
          </cell>
          <cell r="I280">
            <v>5.6406216932806251E-2</v>
          </cell>
          <cell r="J280">
            <v>1.2565423895918705E-3</v>
          </cell>
        </row>
        <row r="281">
          <cell r="A281" t="str">
            <v>D-RHNM_KEV_WOD_ELC_CHP</v>
          </cell>
          <cell r="B281" t="str">
            <v>VAR_fin</v>
          </cell>
          <cell r="C281" t="str">
            <v>RHNM_KEV_WOD_ELC_CHP</v>
          </cell>
          <cell r="H281">
            <v>5.769228612414648E-2</v>
          </cell>
          <cell r="I281">
            <v>5.7154544348748719E-2</v>
          </cell>
          <cell r="J281">
            <v>1.570333666774411E-3</v>
          </cell>
        </row>
        <row r="282">
          <cell r="A282" t="str">
            <v>SCOM-SHLTHCHPNGA</v>
          </cell>
          <cell r="B282" t="str">
            <v>VAR_fout</v>
          </cell>
          <cell r="C282" t="str">
            <v>SCOM-SHLTHC-NGA</v>
          </cell>
          <cell r="H282"/>
          <cell r="I282"/>
          <cell r="J282"/>
        </row>
        <row r="283">
          <cell r="A283" t="str">
            <v>SCOM-SHLTHCHPNGA</v>
          </cell>
          <cell r="B283" t="str">
            <v>VAR_fin</v>
          </cell>
          <cell r="C283" t="str">
            <v>SCOMLTHCHPC</v>
          </cell>
          <cell r="H283"/>
          <cell r="I283"/>
          <cell r="J283"/>
        </row>
        <row r="284">
          <cell r="A284" t="str">
            <v>SCOM-SHLTHCHPNGA</v>
          </cell>
          <cell r="B284" t="str">
            <v>VAR_fin</v>
          </cell>
          <cell r="C284" t="str">
            <v>SCOM_LTH_CHPNGA_ON</v>
          </cell>
          <cell r="H284"/>
          <cell r="I284"/>
          <cell r="J284"/>
        </row>
        <row r="285">
          <cell r="A285" t="str">
            <v>SCOM-SHLTHCHPNGA</v>
          </cell>
          <cell r="B285" t="str">
            <v>VAR_ncap</v>
          </cell>
          <cell r="C285" t="str">
            <v>-</v>
          </cell>
          <cell r="H285">
            <v>2.2423368996107699E-2</v>
          </cell>
          <cell r="I285">
            <v>9.0966699534648504E-3</v>
          </cell>
          <cell r="J285">
            <v>3.5292212551412702E-7</v>
          </cell>
        </row>
        <row r="286">
          <cell r="A286" t="str">
            <v>SCOM-SHLTHCHPNGA</v>
          </cell>
          <cell r="B286" t="str">
            <v>VAR_cap</v>
          </cell>
          <cell r="C286" t="str">
            <v>-</v>
          </cell>
          <cell r="H286">
            <v>3.8546102485213798E-2</v>
          </cell>
          <cell r="I286">
            <v>2.11666781892541E-2</v>
          </cell>
          <cell r="J286">
            <v>5.4985644340130313E-7</v>
          </cell>
        </row>
        <row r="287">
          <cell r="A287" t="str">
            <v>ITOT-PROCESSCO2</v>
          </cell>
          <cell r="B287" t="str">
            <v>VAR_fout</v>
          </cell>
          <cell r="C287" t="str">
            <v>CO2</v>
          </cell>
          <cell r="H287">
            <v>2085.5352788086202</v>
          </cell>
          <cell r="I287">
            <v>2077.4146505059698</v>
          </cell>
          <cell r="J287">
            <v>2063.7515184149802</v>
          </cell>
        </row>
        <row r="288">
          <cell r="A288" t="str">
            <v>ITOT-PROCESSCO2</v>
          </cell>
          <cell r="B288" t="str">
            <v>VAR_fout</v>
          </cell>
          <cell r="C288" t="str">
            <v>CO2P</v>
          </cell>
          <cell r="H288">
            <v>2085.5352788086175</v>
          </cell>
          <cell r="I288">
            <v>2077.4146505059698</v>
          </cell>
          <cell r="J288">
            <v>2063.7515184149811</v>
          </cell>
        </row>
        <row r="289">
          <cell r="A289" t="str">
            <v>RHNM-SHWODBR</v>
          </cell>
          <cell r="B289" t="str">
            <v>VAR_fout</v>
          </cell>
          <cell r="C289" t="str">
            <v>RHNM-SHWOD</v>
          </cell>
          <cell r="H289">
            <v>0.14181566486035541</v>
          </cell>
          <cell r="I289">
            <v>0.14805485648959674</v>
          </cell>
          <cell r="J289">
            <v>0.13293926538696901</v>
          </cell>
        </row>
        <row r="290">
          <cell r="A290" t="str">
            <v>RHNM-SHWODBR</v>
          </cell>
          <cell r="B290" t="str">
            <v>VAR_fin</v>
          </cell>
          <cell r="C290" t="str">
            <v>RHNMWODBRC</v>
          </cell>
          <cell r="H290">
            <v>0.14181566486035541</v>
          </cell>
          <cell r="I290">
            <v>0.14805485648959674</v>
          </cell>
          <cell r="J290">
            <v>0.13293926538696901</v>
          </cell>
        </row>
        <row r="291">
          <cell r="A291" t="str">
            <v>RHNM-SHWODBR</v>
          </cell>
          <cell r="B291" t="str">
            <v>VAR_fin</v>
          </cell>
          <cell r="C291" t="str">
            <v>RWOD</v>
          </cell>
          <cell r="H291">
            <v>0.1879800051930102</v>
          </cell>
          <cell r="I291">
            <v>0.19544805174172691</v>
          </cell>
          <cell r="J291">
            <v>0.17549387460778892</v>
          </cell>
        </row>
        <row r="292">
          <cell r="A292" t="str">
            <v>RHNM-SHWODBR</v>
          </cell>
          <cell r="B292" t="str">
            <v>VAR_ncap</v>
          </cell>
          <cell r="C292" t="str">
            <v>-</v>
          </cell>
          <cell r="H292">
            <v>2.4412888083985101E-2</v>
          </cell>
          <cell r="I292"/>
          <cell r="J292"/>
        </row>
        <row r="293">
          <cell r="A293" t="str">
            <v>RHNM-SHWODBR</v>
          </cell>
          <cell r="B293" t="str">
            <v>VAR_cap</v>
          </cell>
          <cell r="C293" t="str">
            <v>-</v>
          </cell>
          <cell r="H293">
            <v>2.8565676419826488E-2</v>
          </cell>
          <cell r="I293">
            <v>2.5126541368978506E-2</v>
          </cell>
          <cell r="J293">
            <v>1.0326486983585778E-2</v>
          </cell>
        </row>
        <row r="294">
          <cell r="A294" t="str">
            <v>RHNS-SHDEM</v>
          </cell>
          <cell r="B294" t="str">
            <v>VAR_fout</v>
          </cell>
          <cell r="C294" t="str">
            <v>RHNS-SHD</v>
          </cell>
          <cell r="H294">
            <v>3.3757206372558706</v>
          </cell>
          <cell r="I294">
            <v>3.9800679888367685</v>
          </cell>
          <cell r="J294">
            <v>4.7289450019681896</v>
          </cell>
        </row>
        <row r="295">
          <cell r="A295" t="str">
            <v>RHNS-SHDEM</v>
          </cell>
          <cell r="B295" t="str">
            <v>VAR_fin</v>
          </cell>
          <cell r="C295" t="str">
            <v>RHNS-SHLTHC-WOD</v>
          </cell>
          <cell r="H295">
            <v>1.062186733245518E-6</v>
          </cell>
          <cell r="I295">
            <v>9.1176636883822382E-5</v>
          </cell>
          <cell r="J295">
            <v>3.2735553317399931E-6</v>
          </cell>
        </row>
        <row r="296">
          <cell r="A296" t="str">
            <v>RHNS-SHDEM</v>
          </cell>
          <cell r="B296" t="str">
            <v>VAR_fin</v>
          </cell>
          <cell r="C296" t="str">
            <v>RHNS-SHLFO</v>
          </cell>
          <cell r="H296">
            <v>2.3823589206334532E-2</v>
          </cell>
          <cell r="I296">
            <v>1.9826210178037415E-2</v>
          </cell>
          <cell r="J296"/>
        </row>
        <row r="297">
          <cell r="A297" t="str">
            <v>RHNS-SHDEM</v>
          </cell>
          <cell r="B297" t="str">
            <v>VAR_fin</v>
          </cell>
          <cell r="C297" t="str">
            <v>RHNS-SHNGAH</v>
          </cell>
          <cell r="H297">
            <v>0.66169765347906051</v>
          </cell>
          <cell r="I297">
            <v>0.82985376042924652</v>
          </cell>
          <cell r="J297">
            <v>0.98379688491501849</v>
          </cell>
        </row>
        <row r="298">
          <cell r="A298" t="str">
            <v>RHNS-SHDEM</v>
          </cell>
          <cell r="B298" t="str">
            <v>VAR_fin</v>
          </cell>
          <cell r="C298" t="str">
            <v>RHNS-SHCON</v>
          </cell>
          <cell r="H298">
            <v>8.5904808364174387E-4</v>
          </cell>
          <cell r="I298">
            <v>1.6940361664205582E-3</v>
          </cell>
          <cell r="J298">
            <v>1.6781132936871553E-3</v>
          </cell>
        </row>
        <row r="299">
          <cell r="A299" t="str">
            <v>RHNS-SHDEM</v>
          </cell>
          <cell r="B299" t="str">
            <v>VAR_fin</v>
          </cell>
          <cell r="C299" t="str">
            <v>RHNS-SHWOD</v>
          </cell>
          <cell r="H299">
            <v>0.12030093210666412</v>
          </cell>
          <cell r="I299">
            <v>0.12356445496863597</v>
          </cell>
          <cell r="J299">
            <v>0.12191764242137676</v>
          </cell>
        </row>
        <row r="300">
          <cell r="A300" t="str">
            <v>RHNS-SHDEM</v>
          </cell>
          <cell r="B300" t="str">
            <v>VAR_fin</v>
          </cell>
          <cell r="C300" t="str">
            <v>RHNS-SHNST</v>
          </cell>
          <cell r="H300">
            <v>1.2550765250736698E-4</v>
          </cell>
          <cell r="I300">
            <v>2.0117570530646067E-5</v>
          </cell>
          <cell r="J300">
            <v>1.3305782590510788E-4</v>
          </cell>
        </row>
        <row r="301">
          <cell r="A301" t="str">
            <v>RHNS-SHDEM</v>
          </cell>
          <cell r="B301" t="str">
            <v>VAR_fin</v>
          </cell>
          <cell r="C301" t="str">
            <v>RHNS-SHPLT</v>
          </cell>
          <cell r="H301">
            <v>1.3504264903154499E-2</v>
          </cell>
          <cell r="I301">
            <v>1.4251134300432247E-2</v>
          </cell>
          <cell r="J301">
            <v>1.6925135383593172E-2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RHNS-SHLTHD</v>
          </cell>
          <cell r="H302">
            <v>0.11671625058453063</v>
          </cell>
          <cell r="I302">
            <v>0.12140538670606868</v>
          </cell>
          <cell r="J302">
            <v>0.13072383777982097</v>
          </cell>
        </row>
        <row r="303">
          <cell r="A303" t="str">
            <v>RHNS-SHDEM</v>
          </cell>
          <cell r="B303" t="str">
            <v>VAR_fin</v>
          </cell>
          <cell r="C303" t="str">
            <v>RHNS-SHELCB</v>
          </cell>
          <cell r="H303">
            <v>1.0214767332350735E-2</v>
          </cell>
          <cell r="I303">
            <v>1.0444999200107561E-2</v>
          </cell>
          <cell r="J303">
            <v>8.6087225787557179E-3</v>
          </cell>
        </row>
        <row r="304">
          <cell r="A304" t="str">
            <v>RHNS-SHDEM</v>
          </cell>
          <cell r="B304" t="str">
            <v>VAR_fin</v>
          </cell>
          <cell r="C304" t="str">
            <v>RHNS-SHELCH</v>
          </cell>
          <cell r="H304">
            <v>2.3716358036863148</v>
          </cell>
          <cell r="I304">
            <v>2.8032642892740784</v>
          </cell>
          <cell r="J304">
            <v>3.4309316552079001</v>
          </cell>
        </row>
        <row r="305">
          <cell r="A305" t="str">
            <v>RHNS-SHDEM</v>
          </cell>
          <cell r="B305" t="str">
            <v>VAR_fin</v>
          </cell>
          <cell r="C305" t="str">
            <v>RHNS-SHSOL</v>
          </cell>
          <cell r="H305">
            <v>6.1107289159693392E-4</v>
          </cell>
          <cell r="I305">
            <v>6.4203714861421212E-4</v>
          </cell>
          <cell r="J305">
            <v>1.0602731026650696E-3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RHNS-SHLTHC-NGA</v>
          </cell>
          <cell r="H306">
            <v>2.5122481327686266E-5</v>
          </cell>
          <cell r="I306"/>
          <cell r="J306">
            <v>5.9657916032525317E-6</v>
          </cell>
        </row>
        <row r="307">
          <cell r="A307" t="str">
            <v>RHNS-SHDEM</v>
          </cell>
          <cell r="B307" t="str">
            <v>VAR_fin</v>
          </cell>
          <cell r="C307" t="str">
            <v>RHNS-SHNGA</v>
          </cell>
          <cell r="H307">
            <v>5.6332642237800788E-2</v>
          </cell>
          <cell r="I307">
            <v>5.5112288592127738E-2</v>
          </cell>
          <cell r="J307">
            <v>3.3234782768670798E-2</v>
          </cell>
        </row>
        <row r="308">
          <cell r="A308" t="str">
            <v>RES-ELCSPEC</v>
          </cell>
          <cell r="B308" t="str">
            <v>VAR_fout</v>
          </cell>
          <cell r="C308" t="str">
            <v>RHSA-ELS</v>
          </cell>
          <cell r="H308">
            <v>36.728058946180326</v>
          </cell>
          <cell r="I308">
            <v>32.119117463415662</v>
          </cell>
          <cell r="J308">
            <v>22.343430055939663</v>
          </cell>
        </row>
        <row r="309">
          <cell r="A309" t="str">
            <v>RES-ELCSPEC</v>
          </cell>
          <cell r="B309" t="str">
            <v>VAR_fin</v>
          </cell>
          <cell r="C309" t="str">
            <v>RHSA_ELC</v>
          </cell>
          <cell r="H309">
            <v>36.728058946180326</v>
          </cell>
          <cell r="I309">
            <v>32.119117463415662</v>
          </cell>
          <cell r="J309">
            <v>22.343430055939663</v>
          </cell>
        </row>
        <row r="310">
          <cell r="A310" t="str">
            <v>RES-ELCSPEC</v>
          </cell>
          <cell r="B310" t="str">
            <v>VAR_ncap</v>
          </cell>
          <cell r="C310" t="str">
            <v>-</v>
          </cell>
          <cell r="H310">
            <v>1.31074844283458E-6</v>
          </cell>
          <cell r="I310">
            <v>8.4559004016863905E-7</v>
          </cell>
          <cell r="J310">
            <v>1.89303659209426</v>
          </cell>
        </row>
        <row r="311">
          <cell r="A311" t="str">
            <v>RES-ELCSPEC</v>
          </cell>
          <cell r="B311" t="str">
            <v>VAR_cap</v>
          </cell>
          <cell r="C311" t="str">
            <v>-</v>
          </cell>
          <cell r="H311">
            <v>3.8821368116995609</v>
          </cell>
          <cell r="I311">
            <v>3.3949783673504106</v>
          </cell>
          <cell r="J311">
            <v>2.3616855348025281</v>
          </cell>
        </row>
        <row r="312">
          <cell r="A312" t="str">
            <v>SCOM-SHCONBR1</v>
          </cell>
          <cell r="B312" t="str">
            <v>VAR_fout</v>
          </cell>
          <cell r="C312" t="str">
            <v>SCOM-SHCON</v>
          </cell>
          <cell r="H312">
            <v>1.4910259785263178</v>
          </cell>
          <cell r="I312">
            <v>2.6177801755666521</v>
          </cell>
          <cell r="J312">
            <v>2.6177941671272356</v>
          </cell>
        </row>
        <row r="313">
          <cell r="A313" t="str">
            <v>SCOM-SHCONBR1</v>
          </cell>
          <cell r="B313" t="str">
            <v>VAR_fin</v>
          </cell>
          <cell r="C313" t="str">
            <v>CON</v>
          </cell>
          <cell r="H313">
            <v>1.4910259785263178</v>
          </cell>
          <cell r="I313">
            <v>2.6177801755666521</v>
          </cell>
          <cell r="J313">
            <v>2.6177941671272356</v>
          </cell>
        </row>
        <row r="314">
          <cell r="A314" t="str">
            <v>SCOM-SHCONBR1</v>
          </cell>
          <cell r="B314" t="str">
            <v>VAR_ncap</v>
          </cell>
          <cell r="C314" t="str">
            <v>-</v>
          </cell>
          <cell r="H314">
            <v>2.2214985772257801E-6</v>
          </cell>
          <cell r="I314">
            <v>9.4025681000487693E-2</v>
          </cell>
          <cell r="J314">
            <v>6.0123725345801501E-2</v>
          </cell>
        </row>
        <row r="315">
          <cell r="A315" t="str">
            <v>SCOM-SHCONBR1</v>
          </cell>
          <cell r="B315" t="str">
            <v>VAR_cap</v>
          </cell>
          <cell r="C315" t="str">
            <v>-</v>
          </cell>
          <cell r="H315">
            <v>0.1174354268853256</v>
          </cell>
          <cell r="I315">
            <v>0.21146120221526724</v>
          </cell>
          <cell r="J315">
            <v>0.22204065550913102</v>
          </cell>
        </row>
        <row r="316">
          <cell r="A316" t="str">
            <v>RHSA-WHSTG-SOL</v>
          </cell>
          <cell r="B316" t="str">
            <v>VAR_fout</v>
          </cell>
          <cell r="C316" t="str">
            <v>RHSA-WHASOL</v>
          </cell>
          <cell r="H316">
            <v>0.55788282573647607</v>
          </cell>
          <cell r="I316">
            <v>0.66764978390429064</v>
          </cell>
          <cell r="J316">
            <v>0.77828120550666702</v>
          </cell>
        </row>
        <row r="317">
          <cell r="A317" t="str">
            <v>RHSA-WHSTG-SOL</v>
          </cell>
          <cell r="B317" t="str">
            <v>VAR_fout</v>
          </cell>
          <cell r="C317" t="str">
            <v>AUX_RHSA-WHSTG-SOL_OUT</v>
          </cell>
          <cell r="H317">
            <v>0.55844070856221217</v>
          </cell>
          <cell r="I317">
            <v>0.66831743368819463</v>
          </cell>
          <cell r="J317">
            <v>0.77905948671217395</v>
          </cell>
          <cell r="L317"/>
          <cell r="M317"/>
          <cell r="N317"/>
        </row>
        <row r="318">
          <cell r="A318" t="str">
            <v>RHSA-WHSTG-SOL</v>
          </cell>
          <cell r="B318" t="str">
            <v>VAR_fin</v>
          </cell>
          <cell r="C318" t="str">
            <v>RHSA-WHASOL</v>
          </cell>
          <cell r="H318">
            <v>0.55789385626861965</v>
          </cell>
          <cell r="I318">
            <v>0.66765707585038414</v>
          </cell>
          <cell r="J318">
            <v>0.77828846725197087</v>
          </cell>
        </row>
        <row r="319">
          <cell r="A319" t="str">
            <v>RHSA-WHSTG-SOL</v>
          </cell>
          <cell r="B319" t="str">
            <v>VAR_ncap</v>
          </cell>
          <cell r="C319" t="str">
            <v>-</v>
          </cell>
          <cell r="H319">
            <v>6.3723223667562306E-2</v>
          </cell>
          <cell r="I319">
            <v>3.9783780365875598E-2</v>
          </cell>
          <cell r="J319">
            <v>6.3062303234613495E-2</v>
          </cell>
        </row>
        <row r="320">
          <cell r="A320" t="str">
            <v>RHSA-WHSTG-SOL</v>
          </cell>
          <cell r="B320" t="str">
            <v>VAR_cap</v>
          </cell>
          <cell r="C320" t="str">
            <v>-</v>
          </cell>
          <cell r="H320">
            <v>8.4069831848427465E-2</v>
          </cell>
          <cell r="I320">
            <v>0.10350778559022999</v>
          </cell>
          <cell r="J320">
            <v>0.118889309130376</v>
          </cell>
        </row>
        <row r="321">
          <cell r="A321" t="str">
            <v>SCOM-SHCONBR2</v>
          </cell>
          <cell r="B321" t="str">
            <v>VAR_fout</v>
          </cell>
          <cell r="C321" t="str">
            <v>SCOM-SHCON</v>
          </cell>
          <cell r="H321">
            <v>2.3267731737806554</v>
          </cell>
          <cell r="I321">
            <v>3.3246514305946739</v>
          </cell>
          <cell r="J321">
            <v>4.0772702996884931</v>
          </cell>
        </row>
        <row r="322">
          <cell r="A322" t="str">
            <v>SCOM-SHCONBR2</v>
          </cell>
          <cell r="B322" t="str">
            <v>VAR_fin</v>
          </cell>
          <cell r="C322" t="str">
            <v>CON</v>
          </cell>
          <cell r="H322">
            <v>2.3267731737806554</v>
          </cell>
          <cell r="I322">
            <v>3.3246514305946739</v>
          </cell>
          <cell r="J322">
            <v>4.0772702996884931</v>
          </cell>
        </row>
        <row r="323">
          <cell r="A323" t="str">
            <v>SCOM-SHCONBR2</v>
          </cell>
          <cell r="B323" t="str">
            <v>VAR_ncap</v>
          </cell>
          <cell r="C323" t="str">
            <v>-</v>
          </cell>
          <cell r="H323">
            <v>1.1543511245718199E-6</v>
          </cell>
          <cell r="I323">
            <v>7.9933039351701998E-2</v>
          </cell>
          <cell r="J323">
            <v>0.15360547950990999</v>
          </cell>
        </row>
        <row r="324">
          <cell r="A324" t="str">
            <v>SCOM-SHCONBR2</v>
          </cell>
          <cell r="B324" t="str">
            <v>VAR_cap</v>
          </cell>
          <cell r="C324" t="str">
            <v>-</v>
          </cell>
          <cell r="H324">
            <v>0.18290450368512226</v>
          </cell>
          <cell r="I324">
            <v>0.26283764387241304</v>
          </cell>
          <cell r="J324">
            <v>0.33927691093068635</v>
          </cell>
        </row>
        <row r="325">
          <cell r="A325" t="str">
            <v>SCOM-SHCONBR3</v>
          </cell>
          <cell r="B325" t="str">
            <v>VAR_fout</v>
          </cell>
          <cell r="C325" t="str">
            <v>SCOM-SHCON</v>
          </cell>
          <cell r="H325">
            <v>1.8681638155777462</v>
          </cell>
          <cell r="I325">
            <v>1.8590094211447357</v>
          </cell>
          <cell r="J325">
            <v>3.2762343346543581</v>
          </cell>
        </row>
        <row r="326">
          <cell r="A326" t="str">
            <v>SCOM-SHCONBR3</v>
          </cell>
          <cell r="B326" t="str">
            <v>VAR_fin</v>
          </cell>
          <cell r="C326" t="str">
            <v>CON</v>
          </cell>
          <cell r="H326">
            <v>1.8681638155777462</v>
          </cell>
          <cell r="I326">
            <v>1.8590094211447357</v>
          </cell>
          <cell r="J326">
            <v>3.2762343346543581</v>
          </cell>
        </row>
        <row r="327">
          <cell r="A327" t="str">
            <v>SCOM-SHCONBR3</v>
          </cell>
          <cell r="B327" t="str">
            <v>VAR_ncap</v>
          </cell>
          <cell r="C327" t="str">
            <v>-</v>
          </cell>
          <cell r="H327">
            <v>1.16405419663842E-7</v>
          </cell>
          <cell r="I327">
            <v>1.5594517404918401E-7</v>
          </cell>
          <cell r="J327">
            <v>0.169121095189285</v>
          </cell>
        </row>
        <row r="328">
          <cell r="A328" t="str">
            <v>SCOM-SHCONBR3</v>
          </cell>
          <cell r="B328" t="str">
            <v>VAR_cap</v>
          </cell>
          <cell r="C328" t="str">
            <v>-</v>
          </cell>
          <cell r="H328">
            <v>0.14696855501380768</v>
          </cell>
          <cell r="I328">
            <v>0.14696881103786683</v>
          </cell>
          <cell r="J328">
            <v>0.25408410912953772</v>
          </cell>
        </row>
        <row r="329">
          <cell r="A329" t="str">
            <v>SCOM-SHCONBR4</v>
          </cell>
          <cell r="B329" t="str">
            <v>VAR_fout</v>
          </cell>
          <cell r="C329" t="str">
            <v>SCOM-SHCON</v>
          </cell>
          <cell r="H329">
            <v>0.50978329821460877</v>
          </cell>
          <cell r="I329">
            <v>0.51123895169480504</v>
          </cell>
          <cell r="J329">
            <v>2.624606924447956</v>
          </cell>
        </row>
        <row r="330">
          <cell r="A330" t="str">
            <v>SCOM-SHCONBR4</v>
          </cell>
          <cell r="B330" t="str">
            <v>VAR_fin</v>
          </cell>
          <cell r="C330" t="str">
            <v>CON</v>
          </cell>
          <cell r="H330">
            <v>0.50978329821460877</v>
          </cell>
          <cell r="I330">
            <v>0.51123895169480504</v>
          </cell>
          <cell r="J330">
            <v>2.624606924447956</v>
          </cell>
        </row>
        <row r="331">
          <cell r="A331" t="str">
            <v>SCOM-SHCONBR4</v>
          </cell>
          <cell r="B331" t="str">
            <v>VAR_ncap</v>
          </cell>
          <cell r="C331" t="str">
            <v>-</v>
          </cell>
          <cell r="H331">
            <v>1.00060282399046E-7</v>
          </cell>
          <cell r="I331">
            <v>1.10989526481912E-7</v>
          </cell>
          <cell r="J331">
            <v>0.17945545248649</v>
          </cell>
        </row>
        <row r="332">
          <cell r="A332" t="str">
            <v>SCOM-SHCONBR4</v>
          </cell>
          <cell r="B332" t="str">
            <v>VAR_cap</v>
          </cell>
          <cell r="C332" t="str">
            <v>-</v>
          </cell>
          <cell r="H332">
            <v>4.0402000275687057E-2</v>
          </cell>
          <cell r="I332">
            <v>4.0402207470810449E-2</v>
          </cell>
          <cell r="J332">
            <v>0.20281217943186025</v>
          </cell>
        </row>
        <row r="333">
          <cell r="A333" t="str">
            <v>RHEM-SHNGABR</v>
          </cell>
          <cell r="B333" t="str">
            <v>VAR_fout</v>
          </cell>
          <cell r="C333" t="str">
            <v>CO2_R</v>
          </cell>
          <cell r="H333">
            <v>518.91369897248705</v>
          </cell>
          <cell r="I333">
            <v>187.18174051592899</v>
          </cell>
          <cell r="J333">
            <v>58.756867988597797</v>
          </cell>
        </row>
        <row r="334">
          <cell r="A334" t="str">
            <v>RHEM-SHNGABR</v>
          </cell>
          <cell r="B334" t="str">
            <v>VAR_fout</v>
          </cell>
          <cell r="C334" t="str">
            <v>RHEM-SHNGA</v>
          </cell>
          <cell r="H334">
            <v>8.6764349989571414</v>
          </cell>
          <cell r="I334">
            <v>3.1297501064126449</v>
          </cell>
          <cell r="J334">
            <v>0.98243724699278601</v>
          </cell>
        </row>
        <row r="335">
          <cell r="A335" t="str">
            <v>RHEM-SHNGABR</v>
          </cell>
          <cell r="B335" t="str">
            <v>VAR_fin</v>
          </cell>
          <cell r="C335" t="str">
            <v>RNGA</v>
          </cell>
          <cell r="H335">
            <v>9.20059749951219</v>
          </cell>
          <cell r="I335">
            <v>3.3188251864526461</v>
          </cell>
          <cell r="J335">
            <v>1.0417884395141446</v>
          </cell>
        </row>
        <row r="336">
          <cell r="A336" t="str">
            <v>RHEM-SHNGABR</v>
          </cell>
          <cell r="B336" t="str">
            <v>VAR_ncap</v>
          </cell>
          <cell r="C336" t="str">
            <v>-</v>
          </cell>
          <cell r="H336">
            <v>0.123079438648324</v>
          </cell>
          <cell r="I336">
            <v>7.3128751725177493E-2</v>
          </cell>
          <cell r="J336">
            <v>1.4431440082000299E-7</v>
          </cell>
        </row>
        <row r="337">
          <cell r="A337" t="str">
            <v>RHEM-SHNGABR</v>
          </cell>
          <cell r="B337" t="str">
            <v>VAR_cap</v>
          </cell>
          <cell r="C337" t="str">
            <v>-</v>
          </cell>
          <cell r="H337">
            <v>0.61283488888743187</v>
          </cell>
          <cell r="I337">
            <v>0.22108978901631043</v>
          </cell>
          <cell r="J337">
            <v>9.0856234324207003E-2</v>
          </cell>
        </row>
        <row r="338">
          <cell r="A338" t="str">
            <v>SCOM-SHCONBR5</v>
          </cell>
          <cell r="B338" t="str">
            <v>VAR_fout</v>
          </cell>
          <cell r="C338" t="str">
            <v>SCOM-SHCON</v>
          </cell>
          <cell r="H338">
            <v>0.63720373263971175</v>
          </cell>
          <cell r="I338">
            <v>0.63799102332893898</v>
          </cell>
          <cell r="J338">
            <v>0.37718712395332699</v>
          </cell>
        </row>
        <row r="339">
          <cell r="A339" t="str">
            <v>SCOM-SHCONBR5</v>
          </cell>
          <cell r="B339" t="str">
            <v>VAR_fin</v>
          </cell>
          <cell r="C339" t="str">
            <v>CON</v>
          </cell>
          <cell r="H339">
            <v>0.63720373263971175</v>
          </cell>
          <cell r="I339">
            <v>0.63799102332893898</v>
          </cell>
          <cell r="J339">
            <v>0.37718712395332699</v>
          </cell>
        </row>
        <row r="340">
          <cell r="A340" t="str">
            <v>SCOM-SHCONBR5</v>
          </cell>
          <cell r="B340" t="str">
            <v>VAR_ncap</v>
          </cell>
          <cell r="C340" t="str">
            <v>-</v>
          </cell>
          <cell r="H340">
            <v>7.7600945233812493E-8</v>
          </cell>
          <cell r="I340">
            <v>9.3791669648366294E-8</v>
          </cell>
          <cell r="J340">
            <v>1.10033226815412E-6</v>
          </cell>
        </row>
        <row r="341">
          <cell r="A341" t="str">
            <v>SCOM-SHCONBR5</v>
          </cell>
          <cell r="B341" t="str">
            <v>VAR_cap</v>
          </cell>
          <cell r="C341" t="str">
            <v>-</v>
          </cell>
          <cell r="H341">
            <v>5.0426116335717204E-2</v>
          </cell>
          <cell r="I341">
            <v>5.0426307291103416E-2</v>
          </cell>
          <cell r="J341">
            <v>2.9152743052371793E-2</v>
          </cell>
        </row>
        <row r="342">
          <cell r="A342" t="str">
            <v>RHES-SHSTG-ELCHP</v>
          </cell>
          <cell r="B342" t="str">
            <v>VAR_fout</v>
          </cell>
          <cell r="C342" t="str">
            <v>RHES-SHAELCH</v>
          </cell>
          <cell r="H342">
            <v>4.3097423302000397</v>
          </cell>
          <cell r="I342">
            <v>5.3310113212918671</v>
          </cell>
          <cell r="J342">
            <v>4.9540921514103582</v>
          </cell>
        </row>
        <row r="343">
          <cell r="A343" t="str">
            <v>RHES-SHSTG-ELCHP</v>
          </cell>
          <cell r="B343" t="str">
            <v>VAR_fout</v>
          </cell>
          <cell r="C343" t="str">
            <v>AUX_RHES-SHSTG-ELCHP_OUT</v>
          </cell>
          <cell r="H343">
            <v>4.3140520725302363</v>
          </cell>
          <cell r="I343">
            <v>5.336342332613162</v>
          </cell>
          <cell r="J343">
            <v>4.9590462435617626</v>
          </cell>
        </row>
        <row r="344">
          <cell r="A344" t="str">
            <v>RHES-SHSTG-ELCHP</v>
          </cell>
          <cell r="B344" t="str">
            <v>VAR_fin</v>
          </cell>
          <cell r="C344" t="str">
            <v>RHES-SHAELCH</v>
          </cell>
          <cell r="H344">
            <v>4.3097448614384497</v>
          </cell>
          <cell r="I344">
            <v>5.3310146061416503</v>
          </cell>
          <cell r="J344">
            <v>4.9540957901837688</v>
          </cell>
        </row>
        <row r="345">
          <cell r="A345" t="str">
            <v>RHES-SHSTG-ELCHP</v>
          </cell>
          <cell r="B345" t="str">
            <v>VAR_ncap</v>
          </cell>
          <cell r="C345" t="str">
            <v>-</v>
          </cell>
          <cell r="H345">
            <v>0.14286368301612501</v>
          </cell>
          <cell r="I345">
            <v>0.242867461830376</v>
          </cell>
          <cell r="J345">
            <v>0.23410432997521399</v>
          </cell>
        </row>
        <row r="346">
          <cell r="A346" t="str">
            <v>RHES-SHSTG-ELCHP</v>
          </cell>
          <cell r="B346" t="str">
            <v>VAR_cap</v>
          </cell>
          <cell r="C346" t="str">
            <v>-</v>
          </cell>
          <cell r="H346">
            <v>0.44727884128120343</v>
          </cell>
          <cell r="I346">
            <v>0.4879821610128473</v>
          </cell>
          <cell r="J346">
            <v>0.47076579299873728</v>
          </cell>
        </row>
        <row r="347">
          <cell r="A347" t="str">
            <v>SCOM-SHCONBR6</v>
          </cell>
          <cell r="B347" t="str">
            <v>VAR_fout</v>
          </cell>
          <cell r="C347" t="str">
            <v>SCOM-SHCON</v>
          </cell>
          <cell r="H347">
            <v>1.6485438856644771E-4</v>
          </cell>
          <cell r="I347">
            <v>1.8364587650151153E-4</v>
          </cell>
          <cell r="J347">
            <v>3.4710377092771118E-4</v>
          </cell>
        </row>
        <row r="348">
          <cell r="A348" t="str">
            <v>SCOM-SHCONBR6</v>
          </cell>
          <cell r="B348" t="str">
            <v>VAR_fin</v>
          </cell>
          <cell r="C348" t="str">
            <v>CON</v>
          </cell>
          <cell r="H348">
            <v>1.6485438856644771E-4</v>
          </cell>
          <cell r="I348">
            <v>1.8364587650151153E-4</v>
          </cell>
          <cell r="J348">
            <v>3.4710377092771118E-4</v>
          </cell>
        </row>
        <row r="349">
          <cell r="A349" t="str">
            <v>SCOM-SHCONBR6</v>
          </cell>
          <cell r="B349" t="str">
            <v>VAR_ncap</v>
          </cell>
          <cell r="C349" t="str">
            <v>-</v>
          </cell>
          <cell r="H349">
            <v>1.7696530401672E-5</v>
          </cell>
          <cell r="I349">
            <v>5.8837042329566195E-7</v>
          </cell>
          <cell r="J349">
            <v>1.16339121172264E-5</v>
          </cell>
        </row>
        <row r="350">
          <cell r="A350" t="str">
            <v>SCOM-SHCONBR6</v>
          </cell>
          <cell r="B350" t="str">
            <v>VAR_cap</v>
          </cell>
          <cell r="C350" t="str">
            <v>-</v>
          </cell>
          <cell r="H350">
            <v>1.7696530401672E-5</v>
          </cell>
          <cell r="I350">
            <v>1.8264075326358523E-5</v>
          </cell>
          <cell r="J350">
            <v>2.9907562567069518E-5</v>
          </cell>
        </row>
        <row r="351">
          <cell r="A351" t="str">
            <v>RHNM-SHDEM</v>
          </cell>
          <cell r="B351" t="str">
            <v>VAR_fout</v>
          </cell>
          <cell r="C351" t="str">
            <v>RHNM-SHD</v>
          </cell>
          <cell r="H351">
            <v>3.5729453080761369</v>
          </cell>
          <cell r="I351">
            <v>4.2094232586743674</v>
          </cell>
          <cell r="J351">
            <v>4.9784819999677676</v>
          </cell>
        </row>
        <row r="352">
          <cell r="A352" t="str">
            <v>RHNM-SHDEM</v>
          </cell>
          <cell r="B352" t="str">
            <v>VAR_fin</v>
          </cell>
          <cell r="C352" t="str">
            <v>RHNM-SHLFO</v>
          </cell>
          <cell r="H352">
            <v>5.5832355607840341E-2</v>
          </cell>
          <cell r="I352">
            <v>3.1219607615296352E-2</v>
          </cell>
          <cell r="J352">
            <v>1.5135529747782174E-5</v>
          </cell>
        </row>
        <row r="353">
          <cell r="A353" t="str">
            <v>RHNM-SHDEM</v>
          </cell>
          <cell r="B353" t="str">
            <v>VAR_fin</v>
          </cell>
          <cell r="C353" t="str">
            <v>RHNM-SHLTHD</v>
          </cell>
          <cell r="H353">
            <v>0.22411027901409686</v>
          </cell>
          <cell r="I353">
            <v>0.24693745318084909</v>
          </cell>
          <cell r="J353">
            <v>0.27501041612758725</v>
          </cell>
        </row>
        <row r="354">
          <cell r="A354" t="str">
            <v>RHNM-SHDEM</v>
          </cell>
          <cell r="B354" t="str">
            <v>VAR_fin</v>
          </cell>
          <cell r="C354" t="str">
            <v>RHNM-SHCON</v>
          </cell>
          <cell r="H354">
            <v>9.9703638209326238E-4</v>
          </cell>
          <cell r="I354">
            <v>1.0860936240695417E-3</v>
          </cell>
          <cell r="J354">
            <v>1.062281398059528E-3</v>
          </cell>
        </row>
        <row r="355">
          <cell r="A355" t="str">
            <v>RHNM-SHDEM</v>
          </cell>
          <cell r="B355" t="str">
            <v>VAR_fin</v>
          </cell>
          <cell r="C355" t="str">
            <v>RHNM-SHELCB</v>
          </cell>
          <cell r="H355">
            <v>1.7469893614955067E-3</v>
          </cell>
          <cell r="I355">
            <v>1.8989912592147686E-3</v>
          </cell>
          <cell r="J355">
            <v>1.8239484455654575E-3</v>
          </cell>
        </row>
        <row r="356">
          <cell r="A356" t="str">
            <v>RHNM-SHDEM</v>
          </cell>
          <cell r="B356" t="str">
            <v>VAR_fin</v>
          </cell>
          <cell r="C356" t="str">
            <v>RHNM-SHWOD</v>
          </cell>
          <cell r="H356">
            <v>0.14163641353891807</v>
          </cell>
          <cell r="I356">
            <v>0.14793765432437683</v>
          </cell>
          <cell r="J356">
            <v>0.13267711723506823</v>
          </cell>
        </row>
        <row r="357">
          <cell r="A357" t="str">
            <v>RHNM-SHDEM</v>
          </cell>
          <cell r="B357" t="str">
            <v>VAR_fin</v>
          </cell>
          <cell r="C357" t="str">
            <v>RHNM-SHELCH</v>
          </cell>
          <cell r="H357">
            <v>2.1416606354134351</v>
          </cell>
          <cell r="I357">
            <v>2.5910209203351391</v>
          </cell>
          <cell r="J357">
            <v>3.2686240065753953</v>
          </cell>
        </row>
        <row r="358">
          <cell r="A358" t="str">
            <v>RHNM-SHDEM</v>
          </cell>
          <cell r="B358" t="str">
            <v>VAR_fin</v>
          </cell>
          <cell r="C358" t="str">
            <v>RHNM-SHNST</v>
          </cell>
          <cell r="H358">
            <v>5.1191601991959853E-5</v>
          </cell>
          <cell r="I358">
            <v>5.6180611829662787E-5</v>
          </cell>
          <cell r="J358">
            <v>7.848038681447194E-5</v>
          </cell>
        </row>
        <row r="359">
          <cell r="A359" t="str">
            <v>RHNM-SHDEM</v>
          </cell>
          <cell r="B359" t="str">
            <v>VAR_fin</v>
          </cell>
          <cell r="C359" t="str">
            <v>RHNM-SHPLT</v>
          </cell>
          <cell r="H359">
            <v>3.4833356530305205E-2</v>
          </cell>
          <cell r="I359">
            <v>3.9675999827906448E-2</v>
          </cell>
          <cell r="J359">
            <v>4.4429835564678402E-2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RHNM-SHLTHC-NGA</v>
          </cell>
          <cell r="H360">
            <v>4.9149144837939683E-5</v>
          </cell>
          <cell r="I360">
            <v>6.2135573258096795E-5</v>
          </cell>
          <cell r="J360">
            <v>2.6333710122129705E-5</v>
          </cell>
        </row>
        <row r="361">
          <cell r="A361" t="str">
            <v>RHNM-SHDEM</v>
          </cell>
          <cell r="B361" t="str">
            <v>VAR_fin</v>
          </cell>
          <cell r="C361" t="str">
            <v>RHNM-SHSOL</v>
          </cell>
          <cell r="H361">
            <v>3.1779337717127996E-4</v>
          </cell>
          <cell r="I361">
            <v>2.7054350811023768E-4</v>
          </cell>
          <cell r="J361">
            <v>5.3481936428661061E-4</v>
          </cell>
        </row>
        <row r="362">
          <cell r="A362" t="str">
            <v>RHNM-SHDEM</v>
          </cell>
          <cell r="B362" t="str">
            <v>VAR_fin</v>
          </cell>
          <cell r="C362" t="str">
            <v>RHNM-SHLTHC-WOD</v>
          </cell>
          <cell r="H362">
            <v>6.756388038775329E-5</v>
          </cell>
          <cell r="I362">
            <v>1.0182766856243739E-6</v>
          </cell>
          <cell r="J362">
            <v>3.9517129145684674E-5</v>
          </cell>
        </row>
        <row r="363">
          <cell r="A363" t="str">
            <v>RHNM-SHDEM</v>
          </cell>
          <cell r="B363" t="str">
            <v>VAR_fin</v>
          </cell>
          <cell r="C363" t="str">
            <v>RHNM-SHNGAH</v>
          </cell>
          <cell r="H363">
            <v>0.86035326965282843</v>
          </cell>
          <cell r="I363">
            <v>1.0891326497336848</v>
          </cell>
          <cell r="J363">
            <v>1.2541695204483925</v>
          </cell>
        </row>
        <row r="364">
          <cell r="A364" t="str">
            <v>RHNM-SHDEM</v>
          </cell>
          <cell r="B364" t="str">
            <v>VAR_fin</v>
          </cell>
          <cell r="C364" t="str">
            <v>RHNM-SHNGA</v>
          </cell>
          <cell r="H364">
            <v>0.11141837177912851</v>
          </cell>
          <cell r="I364">
            <v>6.0227241205489841E-2</v>
          </cell>
          <cell r="J364">
            <v>5.7594194626667943E-5</v>
          </cell>
        </row>
        <row r="365">
          <cell r="A365" t="str">
            <v>SCOM-STG-ELCSPEC</v>
          </cell>
          <cell r="B365" t="str">
            <v>VAR_fout</v>
          </cell>
          <cell r="C365" t="str">
            <v>SCOM-ELS</v>
          </cell>
          <cell r="H365">
            <v>1.1945750919899535E-2</v>
          </cell>
          <cell r="I365">
            <v>1.3313522455791265E-2</v>
          </cell>
          <cell r="J365">
            <v>1.3228470962772037E-2</v>
          </cell>
        </row>
        <row r="366">
          <cell r="A366" t="str">
            <v>SCOM-STG-ELCSPEC</v>
          </cell>
          <cell r="B366" t="str">
            <v>VAR_fin</v>
          </cell>
          <cell r="C366" t="str">
            <v>SCOM-ELS</v>
          </cell>
          <cell r="H366">
            <v>1.1946223862543102E-2</v>
          </cell>
          <cell r="I366">
            <v>1.3313825687360947E-2</v>
          </cell>
          <cell r="J366">
            <v>1.3228783993009653E-2</v>
          </cell>
        </row>
        <row r="367">
          <cell r="A367" t="str">
            <v>SCOM-STG-ELCSPEC</v>
          </cell>
          <cell r="B367" t="str">
            <v>VAR_ncap</v>
          </cell>
          <cell r="C367" t="str">
            <v>-</v>
          </cell>
          <cell r="H367">
            <v>4.3495746508692303E-6</v>
          </cell>
          <cell r="I367">
            <v>2.4796101933696399E-4</v>
          </cell>
          <cell r="J367">
            <v>2.3621027335722899E-4</v>
          </cell>
        </row>
        <row r="368">
          <cell r="A368" t="str">
            <v>SCOM-STG-ELCSPEC</v>
          </cell>
          <cell r="B368" t="str">
            <v>VAR_cap</v>
          </cell>
          <cell r="C368" t="str">
            <v>-</v>
          </cell>
          <cell r="H368">
            <v>4.4789398390165041E-4</v>
          </cell>
          <cell r="I368">
            <v>4.8683353697545612E-4</v>
          </cell>
          <cell r="J368">
            <v>4.8746479139504499E-4</v>
          </cell>
        </row>
        <row r="369">
          <cell r="A369" t="str">
            <v>SCOM-SHCONBR7</v>
          </cell>
          <cell r="B369" t="str">
            <v>VAR_fout</v>
          </cell>
          <cell r="C369" t="str">
            <v>SCOM-SHCON</v>
          </cell>
          <cell r="H369"/>
          <cell r="I369"/>
          <cell r="J369">
            <v>1.5593289687084472E-4</v>
          </cell>
        </row>
        <row r="370">
          <cell r="A370" t="str">
            <v>SCOM-SHCONBR7</v>
          </cell>
          <cell r="B370" t="str">
            <v>VAR_fin</v>
          </cell>
          <cell r="C370" t="str">
            <v>CON</v>
          </cell>
          <cell r="H370"/>
          <cell r="I370"/>
          <cell r="J370">
            <v>1.5593289687084472E-4</v>
          </cell>
        </row>
        <row r="371">
          <cell r="A371" t="str">
            <v>SCOM-SHCONBR7</v>
          </cell>
          <cell r="B371" t="str">
            <v>VAR_ncap</v>
          </cell>
          <cell r="C371" t="str">
            <v>-</v>
          </cell>
          <cell r="H371"/>
          <cell r="I371"/>
          <cell r="J371">
            <v>1.3968113519091101E-5</v>
          </cell>
        </row>
        <row r="372">
          <cell r="A372" t="str">
            <v>SCOM-SHCONBR7</v>
          </cell>
          <cell r="B372" t="str">
            <v>VAR_cap</v>
          </cell>
          <cell r="C372" t="str">
            <v>-</v>
          </cell>
          <cell r="H372"/>
          <cell r="I372"/>
          <cell r="J372">
            <v>1.3968113519091101E-5</v>
          </cell>
        </row>
        <row r="373">
          <cell r="A373" t="str">
            <v>SCOM-SHCONBR8</v>
          </cell>
          <cell r="B373" t="str">
            <v>VAR_fout</v>
          </cell>
          <cell r="C373" t="str">
            <v>SCOM-SHCON</v>
          </cell>
          <cell r="H373"/>
          <cell r="I373"/>
          <cell r="J373">
            <v>4.2015306263875375E-5</v>
          </cell>
        </row>
        <row r="374">
          <cell r="A374" t="str">
            <v>SCOM-SHCONBR8</v>
          </cell>
          <cell r="B374" t="str">
            <v>VAR_fin</v>
          </cell>
          <cell r="C374" t="str">
            <v>CON</v>
          </cell>
          <cell r="H374"/>
          <cell r="I374"/>
          <cell r="J374">
            <v>4.2015306263875375E-5</v>
          </cell>
        </row>
        <row r="375">
          <cell r="A375" t="str">
            <v>SCOM-SHCONBR8</v>
          </cell>
          <cell r="B375" t="str">
            <v>VAR_ncap</v>
          </cell>
          <cell r="C375" t="str">
            <v>-</v>
          </cell>
          <cell r="H375"/>
          <cell r="I375"/>
          <cell r="J375">
            <v>3.6492847172717501E-6</v>
          </cell>
        </row>
        <row r="376">
          <cell r="A376" t="str">
            <v>SCOM-SHCONBR8</v>
          </cell>
          <cell r="B376" t="str">
            <v>VAR_cap</v>
          </cell>
          <cell r="C376" t="str">
            <v>-</v>
          </cell>
          <cell r="H376"/>
          <cell r="I376"/>
          <cell r="J376">
            <v>3.6492847172717501E-6</v>
          </cell>
        </row>
        <row r="377">
          <cell r="A377" t="str">
            <v>ITOT-ELCSPEC</v>
          </cell>
          <cell r="B377" t="str">
            <v>VAR_fout</v>
          </cell>
          <cell r="C377" t="str">
            <v>ITOT-ELS</v>
          </cell>
          <cell r="H377">
            <v>53.631277434182913</v>
          </cell>
          <cell r="I377">
            <v>54.146830124489725</v>
          </cell>
          <cell r="J377">
            <v>55.526736028217478</v>
          </cell>
        </row>
        <row r="378">
          <cell r="A378" t="str">
            <v>ITOT-ELCSPEC</v>
          </cell>
          <cell r="B378" t="str">
            <v>VAR_fin</v>
          </cell>
          <cell r="C378" t="str">
            <v>ITOT_ELC</v>
          </cell>
          <cell r="H378">
            <v>53.631277434182913</v>
          </cell>
          <cell r="I378">
            <v>54.146830124489725</v>
          </cell>
          <cell r="J378">
            <v>55.526736028217478</v>
          </cell>
        </row>
        <row r="379">
          <cell r="A379" t="str">
            <v>ITOT-ELCSPEC</v>
          </cell>
          <cell r="B379" t="str">
            <v>VAR_ncap</v>
          </cell>
          <cell r="C379" t="str">
            <v>-</v>
          </cell>
          <cell r="H379">
            <v>3.6657120281244703E-2</v>
          </cell>
          <cell r="I379">
            <v>2.8039678970822501E-2</v>
          </cell>
          <cell r="J379">
            <v>2.6037318842302399</v>
          </cell>
        </row>
        <row r="380">
          <cell r="A380" t="str">
            <v>ITOT-ELCSPEC</v>
          </cell>
          <cell r="B380" t="str">
            <v>VAR_cap</v>
          </cell>
          <cell r="C380" t="str">
            <v>-</v>
          </cell>
          <cell r="H380">
            <v>2.9166220028940772</v>
          </cell>
          <cell r="I380">
            <v>2.9446588204208917</v>
          </cell>
          <cell r="J380">
            <v>3.0197017926850034</v>
          </cell>
        </row>
        <row r="381">
          <cell r="A381" t="str">
            <v>RHNM-SHLTHDH</v>
          </cell>
          <cell r="B381" t="str">
            <v>VAR_fout</v>
          </cell>
          <cell r="C381" t="str">
            <v>RHNM-SHLTHD</v>
          </cell>
          <cell r="H381">
            <v>0.22431242783946426</v>
          </cell>
          <cell r="I381">
            <v>0.24709464213333859</v>
          </cell>
          <cell r="J381">
            <v>0.27536435944587501</v>
          </cell>
        </row>
        <row r="382">
          <cell r="A382" t="str">
            <v>RHNM-SHLTHDH</v>
          </cell>
          <cell r="B382" t="str">
            <v>VAR_fin</v>
          </cell>
          <cell r="C382" t="str">
            <v>RHNMLTHDHC</v>
          </cell>
          <cell r="H382">
            <v>0.22431242783946426</v>
          </cell>
          <cell r="I382">
            <v>0.24709464213333859</v>
          </cell>
          <cell r="J382">
            <v>0.27536435944587501</v>
          </cell>
        </row>
        <row r="383">
          <cell r="A383" t="str">
            <v>RHNM-SHLTHDH</v>
          </cell>
          <cell r="B383" t="str">
            <v>VAR_fin</v>
          </cell>
          <cell r="C383" t="str">
            <v>RHNM_LTH_DH</v>
          </cell>
          <cell r="H383">
            <v>0.24694141449297083</v>
          </cell>
          <cell r="I383">
            <v>0.27180345339035311</v>
          </cell>
          <cell r="J383">
            <v>0.30290006773041711</v>
          </cell>
        </row>
        <row r="384">
          <cell r="A384" t="str">
            <v>RHNM-SHLTHDH</v>
          </cell>
          <cell r="B384" t="str">
            <v>VAR_ncap</v>
          </cell>
          <cell r="C384" t="str">
            <v>-</v>
          </cell>
          <cell r="H384">
            <v>1.42436118057509E-2</v>
          </cell>
          <cell r="I384">
            <v>2.34371018829501E-2</v>
          </cell>
          <cell r="J384">
            <v>1.59488333377053E-2</v>
          </cell>
        </row>
        <row r="385">
          <cell r="A385" t="str">
            <v>RHNM-SHLTHDH</v>
          </cell>
          <cell r="B385" t="str">
            <v>VAR_cap</v>
          </cell>
          <cell r="C385" t="str">
            <v>-</v>
          </cell>
          <cell r="H385">
            <v>2.9938507832718807E-2</v>
          </cell>
          <cell r="I385">
            <v>4.4015231553003194E-2</v>
          </cell>
          <cell r="J385">
            <v>4.5757151994991606E-2</v>
          </cell>
        </row>
        <row r="386">
          <cell r="A386" t="str">
            <v>SCOM-SHCONBR9</v>
          </cell>
          <cell r="B386" t="str">
            <v>VAR_fout</v>
          </cell>
          <cell r="C386" t="str">
            <v>SCOM-SHCON</v>
          </cell>
          <cell r="H386"/>
          <cell r="I386"/>
          <cell r="J386">
            <v>1.3239462073652786E-5</v>
          </cell>
        </row>
        <row r="387">
          <cell r="A387" t="str">
            <v>SCOM-SHCONBR9</v>
          </cell>
          <cell r="B387" t="str">
            <v>VAR_fin</v>
          </cell>
          <cell r="C387" t="str">
            <v>CON</v>
          </cell>
          <cell r="H387"/>
          <cell r="I387"/>
          <cell r="J387">
            <v>1.3239462073652786E-5</v>
          </cell>
        </row>
        <row r="388">
          <cell r="A388" t="str">
            <v>SCOM-SHCONBR9</v>
          </cell>
          <cell r="B388" t="str">
            <v>VAR_ncap</v>
          </cell>
          <cell r="C388" t="str">
            <v>-</v>
          </cell>
          <cell r="H388"/>
          <cell r="I388"/>
          <cell r="J388">
            <v>6.6716086404897805E-7</v>
          </cell>
        </row>
        <row r="389">
          <cell r="A389" t="str">
            <v>SCOM-SHCONBR9</v>
          </cell>
          <cell r="B389" t="str">
            <v>VAR_cap</v>
          </cell>
          <cell r="C389" t="str">
            <v>-</v>
          </cell>
          <cell r="H389"/>
          <cell r="I389"/>
          <cell r="J389">
            <v>6.6716086404897805E-7</v>
          </cell>
        </row>
        <row r="390">
          <cell r="A390" t="str">
            <v>ITOT-SWHCOABR</v>
          </cell>
          <cell r="B390" t="str">
            <v>VAR_fout</v>
          </cell>
          <cell r="C390" t="str">
            <v>ITOT-SWH</v>
          </cell>
          <cell r="H390">
            <v>1.8008200735829502E-4</v>
          </cell>
          <cell r="I390">
            <v>0.43980528737612745</v>
          </cell>
          <cell r="J390">
            <v>2.0155496267232597E-4</v>
          </cell>
        </row>
        <row r="391">
          <cell r="A391" t="str">
            <v>ITOT-SWHCOABR</v>
          </cell>
          <cell r="B391" t="str">
            <v>VAR_fout</v>
          </cell>
          <cell r="C391" t="str">
            <v>CO2_I</v>
          </cell>
          <cell r="H391">
            <v>2.4823200122102498E-2</v>
          </cell>
          <cell r="I391">
            <v>60.399926132988199</v>
          </cell>
          <cell r="J391">
            <v>2.7476683881947999E-2</v>
          </cell>
        </row>
        <row r="392">
          <cell r="A392" t="str">
            <v>ITOT-SWHCOABR</v>
          </cell>
          <cell r="B392" t="str">
            <v>VAR_fin</v>
          </cell>
          <cell r="C392" t="str">
            <v>ICOA</v>
          </cell>
          <cell r="H392">
            <v>2.6777993659226013E-4</v>
          </cell>
          <cell r="I392">
            <v>0.65156338870537378</v>
          </cell>
          <cell r="J392">
            <v>2.9640435687106753E-4</v>
          </cell>
        </row>
        <row r="393">
          <cell r="A393" t="str">
            <v>ITOT-SWHCOABR</v>
          </cell>
          <cell r="B393" t="str">
            <v>VAR_ncap</v>
          </cell>
          <cell r="C393" t="str">
            <v>-</v>
          </cell>
          <cell r="H393">
            <v>1.97789560478739E-5</v>
          </cell>
          <cell r="I393">
            <v>2.52677820211882E-2</v>
          </cell>
          <cell r="J393">
            <v>1.8486119124707701E-6</v>
          </cell>
        </row>
        <row r="394">
          <cell r="A394" t="str">
            <v>ITOT-SWHCOABR</v>
          </cell>
          <cell r="B394" t="str">
            <v>VAR_cap</v>
          </cell>
          <cell r="C394" t="str">
            <v>-</v>
          </cell>
          <cell r="H394">
            <v>1.6991947380362582E-5</v>
          </cell>
          <cell r="I394">
            <v>2.5285972871410559E-2</v>
          </cell>
          <cell r="J394">
            <v>1.9262499277201972E-5</v>
          </cell>
        </row>
        <row r="395">
          <cell r="A395" t="str">
            <v>RHSA-WHDEM</v>
          </cell>
          <cell r="B395" t="str">
            <v>VAR_fout</v>
          </cell>
          <cell r="C395" t="str">
            <v>RHSA-WHD</v>
          </cell>
          <cell r="H395">
            <v>24.219516962976776</v>
          </cell>
          <cell r="I395">
            <v>26.856109822146408</v>
          </cell>
          <cell r="J395">
            <v>28.73650219611239</v>
          </cell>
        </row>
        <row r="396">
          <cell r="A396" t="str">
            <v>RHSA-WHDEM</v>
          </cell>
          <cell r="B396" t="str">
            <v>VAR_fin</v>
          </cell>
          <cell r="C396" t="str">
            <v>RHSA-WHNGA</v>
          </cell>
          <cell r="H396">
            <v>2.0985762153824119</v>
          </cell>
          <cell r="I396">
            <v>1.1357370328008218</v>
          </cell>
          <cell r="J396">
            <v>0.44105777801931484</v>
          </cell>
        </row>
        <row r="397">
          <cell r="A397" t="str">
            <v>RHSA-WHDEM</v>
          </cell>
          <cell r="B397" t="str">
            <v>VAR_fin</v>
          </cell>
          <cell r="C397" t="str">
            <v>RHSA-WHLFO</v>
          </cell>
          <cell r="H397">
            <v>1.2942735246474739</v>
          </cell>
          <cell r="I397">
            <v>0.59660053129725032</v>
          </cell>
          <cell r="J397">
            <v>3.1770679261777825E-2</v>
          </cell>
        </row>
        <row r="398">
          <cell r="A398" t="str">
            <v>RHSA-WHDEM</v>
          </cell>
          <cell r="B398" t="str">
            <v>VAR_fin</v>
          </cell>
          <cell r="C398" t="str">
            <v>RHSA-WHWOD</v>
          </cell>
          <cell r="H398">
            <v>1.1974931159248583</v>
          </cell>
          <cell r="I398">
            <v>1.1272841843113668</v>
          </cell>
          <cell r="J398">
            <v>0.83635377483920958</v>
          </cell>
        </row>
        <row r="399">
          <cell r="A399" t="str">
            <v>RHSA-WHDEM</v>
          </cell>
          <cell r="B399" t="str">
            <v>VAR_fin</v>
          </cell>
          <cell r="C399" t="str">
            <v>RHSA-WHNGAH</v>
          </cell>
          <cell r="H399">
            <v>2.5088011707673505</v>
          </cell>
          <cell r="I399">
            <v>3.3344577506448667</v>
          </cell>
          <cell r="J399">
            <v>3.7523649120969176</v>
          </cell>
        </row>
        <row r="400">
          <cell r="A400" t="str">
            <v>RHSA-WHDEM</v>
          </cell>
          <cell r="B400" t="str">
            <v>VAR_fin</v>
          </cell>
          <cell r="C400" t="str">
            <v>RHSA-WHNST</v>
          </cell>
          <cell r="H400">
            <v>3.0294769834498558E-6</v>
          </cell>
          <cell r="I400">
            <v>5.3046212141395022E-6</v>
          </cell>
          <cell r="J400">
            <v>3.9373147813400784E-6</v>
          </cell>
        </row>
        <row r="401">
          <cell r="A401" t="str">
            <v>RHSA-WHDEM</v>
          </cell>
          <cell r="B401" t="str">
            <v>VAR_fin</v>
          </cell>
          <cell r="C401" t="str">
            <v>RHSA-WHPLT</v>
          </cell>
          <cell r="H401">
            <v>0.18017204027872458</v>
          </cell>
          <cell r="I401">
            <v>0.20426828463389873</v>
          </cell>
          <cell r="J401">
            <v>0.19944192682482292</v>
          </cell>
        </row>
        <row r="402">
          <cell r="A402" t="str">
            <v>RHSA-WHDEM</v>
          </cell>
          <cell r="B402" t="str">
            <v>VAR_fin</v>
          </cell>
          <cell r="C402" t="str">
            <v>RHSA-WHLTHRD</v>
          </cell>
          <cell r="H402">
            <v>1.5122487826573412</v>
          </cell>
          <cell r="I402">
            <v>1.6791711969022403</v>
          </cell>
          <cell r="J402">
            <v>1.7662149191446574</v>
          </cell>
        </row>
        <row r="403">
          <cell r="A403" t="str">
            <v>RHSA-WHDEM</v>
          </cell>
          <cell r="B403" t="str">
            <v>VAR_fin</v>
          </cell>
          <cell r="C403" t="str">
            <v>RHSA-WHELCB</v>
          </cell>
          <cell r="H403">
            <v>1.8369932587826054</v>
          </cell>
          <cell r="I403">
            <v>1.7153987915057818</v>
          </cell>
          <cell r="J403">
            <v>1.5591596704791169</v>
          </cell>
        </row>
        <row r="404">
          <cell r="A404" t="str">
            <v>RHSA-WHDEM</v>
          </cell>
          <cell r="B404" t="str">
            <v>VAR_fin</v>
          </cell>
          <cell r="C404" t="str">
            <v>RHSA-WHSOL</v>
          </cell>
          <cell r="H404">
            <v>1.4503607162721965</v>
          </cell>
          <cell r="I404">
            <v>1.7173136640051729</v>
          </cell>
          <cell r="J404">
            <v>1.9393011400542435</v>
          </cell>
        </row>
        <row r="405">
          <cell r="A405" t="str">
            <v>RHSA-WHDEM</v>
          </cell>
          <cell r="B405" t="str">
            <v>VAR_fin</v>
          </cell>
          <cell r="C405" t="str">
            <v>RHSA-WHELCH</v>
          </cell>
          <cell r="H405">
            <v>12.140652709030505</v>
          </cell>
          <cell r="I405">
            <v>15.34592048523929</v>
          </cell>
          <cell r="J405">
            <v>18.210877716980047</v>
          </cell>
        </row>
        <row r="406">
          <cell r="A406" t="str">
            <v>RHSA-WHNGAHP</v>
          </cell>
          <cell r="B406" t="str">
            <v>VAR_fout</v>
          </cell>
          <cell r="C406" t="str">
            <v>RHSA-WHANGAH</v>
          </cell>
          <cell r="H406">
            <v>2.5088028765597001</v>
          </cell>
          <cell r="I406">
            <v>3.3344583031411661</v>
          </cell>
          <cell r="J406">
            <v>3.7523678683219606</v>
          </cell>
        </row>
        <row r="407">
          <cell r="A407" t="str">
            <v>RHSA-WHNGAHP</v>
          </cell>
          <cell r="B407" t="str">
            <v>VAR_fout</v>
          </cell>
          <cell r="C407" t="str">
            <v>CO2_R</v>
          </cell>
          <cell r="H407">
            <v>57.113953548575701</v>
          </cell>
          <cell r="I407">
            <v>70.998353683581001</v>
          </cell>
          <cell r="J407">
            <v>66.436341098109295</v>
          </cell>
        </row>
        <row r="408">
          <cell r="A408" t="str">
            <v>RHSA-WHNGAHP</v>
          </cell>
          <cell r="B408" t="str">
            <v>VAR_fin</v>
          </cell>
          <cell r="C408" t="str">
            <v>RNGA</v>
          </cell>
          <cell r="H408">
            <v>1.0126587508612723</v>
          </cell>
          <cell r="I408">
            <v>1.2588360582195222</v>
          </cell>
          <cell r="J408">
            <v>1.1779493102501655</v>
          </cell>
        </row>
        <row r="409">
          <cell r="A409" t="str">
            <v>RHSA-WHNGAHP</v>
          </cell>
          <cell r="B409" t="str">
            <v>VAR_ncap</v>
          </cell>
          <cell r="C409" t="str">
            <v>-</v>
          </cell>
          <cell r="H409">
            <v>5.65474570883161E-2</v>
          </cell>
          <cell r="I409">
            <v>0.122262210093645</v>
          </cell>
          <cell r="J409">
            <v>0.14382787580115899</v>
          </cell>
        </row>
        <row r="410">
          <cell r="A410" t="str">
            <v>RHSA-WHNGAHP</v>
          </cell>
          <cell r="B410" t="str">
            <v>VAR_cap</v>
          </cell>
          <cell r="C410" t="str">
            <v>-</v>
          </cell>
          <cell r="H410">
            <v>0.17148092342744095</v>
          </cell>
          <cell r="I410">
            <v>0.2279161975554635</v>
          </cell>
          <cell r="J410">
            <v>0.25647683125970822</v>
          </cell>
        </row>
        <row r="411">
          <cell r="A411" t="str">
            <v>SCOM-SHSTG-ELCHP</v>
          </cell>
          <cell r="B411" t="str">
            <v>VAR_fout</v>
          </cell>
          <cell r="C411" t="str">
            <v>SCOM-SHAELCH</v>
          </cell>
          <cell r="H411">
            <v>1.9651511245236872E-5</v>
          </cell>
          <cell r="I411">
            <v>1.4850675066288446E-5</v>
          </cell>
          <cell r="J411">
            <v>4.6978372558200392E-6</v>
          </cell>
        </row>
        <row r="412">
          <cell r="A412" t="str">
            <v>SCOM-SHSTG-ELCHP</v>
          </cell>
          <cell r="B412" t="str">
            <v>VAR_fin</v>
          </cell>
          <cell r="C412" t="str">
            <v>SCOM-SHAELCH</v>
          </cell>
          <cell r="H412">
            <v>2.3704442266547985E-5</v>
          </cell>
          <cell r="I412">
            <v>1.760494238505576E-5</v>
          </cell>
          <cell r="J412">
            <v>4.0624458916042979E-6</v>
          </cell>
        </row>
        <row r="413">
          <cell r="A413" t="str">
            <v>SCOM-SHSTG-ELCHP</v>
          </cell>
          <cell r="B413" t="str">
            <v>VAR_ncap</v>
          </cell>
          <cell r="C413" t="str">
            <v>-</v>
          </cell>
          <cell r="H413">
            <v>0.14387892752845499</v>
          </cell>
          <cell r="I413">
            <v>0.20864161406791501</v>
          </cell>
          <cell r="J413">
            <v>0.28748141653647802</v>
          </cell>
        </row>
        <row r="414">
          <cell r="A414" t="str">
            <v>SCOM-SHSTG-ELCHP</v>
          </cell>
          <cell r="B414" t="str">
            <v>VAR_cap</v>
          </cell>
          <cell r="C414" t="str">
            <v>-</v>
          </cell>
          <cell r="H414">
            <v>0.3508747563007803</v>
          </cell>
          <cell r="I414">
            <v>0.45999308152110435</v>
          </cell>
          <cell r="J414">
            <v>0.49971766038001075</v>
          </cell>
        </row>
        <row r="415">
          <cell r="A415" t="str">
            <v>RHEM-SHLFOBR</v>
          </cell>
          <cell r="B415" t="str">
            <v>VAR_fout</v>
          </cell>
          <cell r="C415" t="str">
            <v>CO2_R</v>
          </cell>
          <cell r="H415">
            <v>554.45423633695896</v>
          </cell>
          <cell r="I415">
            <v>194.71455976226201</v>
          </cell>
          <cell r="J415">
            <v>18.264378282151</v>
          </cell>
        </row>
        <row r="416">
          <cell r="A416" t="str">
            <v>RHEM-SHLFOBR</v>
          </cell>
          <cell r="B416" t="str">
            <v>VAR_fout</v>
          </cell>
          <cell r="C416" t="str">
            <v>RHEM-SHLFO</v>
          </cell>
          <cell r="H416">
            <v>6.5463212702813269</v>
          </cell>
          <cell r="I416">
            <v>2.2989527009953443</v>
          </cell>
          <cell r="J416">
            <v>0.2156435647905233</v>
          </cell>
        </row>
        <row r="417">
          <cell r="A417" t="str">
            <v>RHEM-SHLFOBR</v>
          </cell>
          <cell r="B417" t="str">
            <v>VAR_fin</v>
          </cell>
          <cell r="C417" t="str">
            <v>RLFO</v>
          </cell>
          <cell r="H417">
            <v>7.5231239665801697</v>
          </cell>
          <cell r="I417">
            <v>2.6419885992165835</v>
          </cell>
          <cell r="J417">
            <v>0.24782060084329618</v>
          </cell>
        </row>
        <row r="418">
          <cell r="A418" t="str">
            <v>RHEM-SHLFOBR</v>
          </cell>
          <cell r="B418" t="str">
            <v>VAR_ncap</v>
          </cell>
          <cell r="C418" t="str">
            <v>-</v>
          </cell>
          <cell r="H418">
            <v>4.9995776842354497E-2</v>
          </cell>
          <cell r="I418">
            <v>0.112399689225431</v>
          </cell>
          <cell r="J418">
            <v>9.3529172652857703E-8</v>
          </cell>
        </row>
        <row r="419">
          <cell r="A419" t="str">
            <v>RHEM-SHLFOBR</v>
          </cell>
          <cell r="B419" t="str">
            <v>VAR_cap</v>
          </cell>
          <cell r="C419" t="str">
            <v>-</v>
          </cell>
          <cell r="H419">
            <v>0.46237020015536207</v>
          </cell>
          <cell r="I419">
            <v>0.16239540044199663</v>
          </cell>
          <cell r="J419">
            <v>2.1136967519105709E-2</v>
          </cell>
        </row>
        <row r="420">
          <cell r="A420" t="str">
            <v>RHES-SHNGAHP</v>
          </cell>
          <cell r="B420" t="str">
            <v>VAR_fout</v>
          </cell>
          <cell r="C420" t="str">
            <v>RHES-SHANGAH</v>
          </cell>
          <cell r="H420">
            <v>1.3565549977962879</v>
          </cell>
          <cell r="I420">
            <v>1.2745920943905631</v>
          </cell>
          <cell r="J420">
            <v>1.0247538791348521</v>
          </cell>
        </row>
        <row r="421">
          <cell r="A421" t="str">
            <v>RHES-SHNGAHP</v>
          </cell>
          <cell r="B421" t="str">
            <v>VAR_fout</v>
          </cell>
          <cell r="C421" t="str">
            <v>CO2_R</v>
          </cell>
          <cell r="H421">
            <v>40.497946967317297</v>
          </cell>
          <cell r="I421">
            <v>36.447116109879303</v>
          </cell>
          <cell r="J421">
            <v>27.2882856157694</v>
          </cell>
        </row>
        <row r="422">
          <cell r="A422" t="str">
            <v>RHES-SHNGAHP</v>
          </cell>
          <cell r="B422" t="str">
            <v>VAR_fin</v>
          </cell>
          <cell r="C422" t="str">
            <v>RHESELCHPC</v>
          </cell>
          <cell r="H422">
            <v>1.3565549977962879</v>
          </cell>
          <cell r="I422">
            <v>1.2745920943905631</v>
          </cell>
          <cell r="J422">
            <v>1.0247538791348521</v>
          </cell>
        </row>
        <row r="423">
          <cell r="A423" t="str">
            <v>RHES-SHNGAHP</v>
          </cell>
          <cell r="B423" t="str">
            <v>VAR_fin</v>
          </cell>
          <cell r="C423" t="str">
            <v>RNGA</v>
          </cell>
          <cell r="H423">
            <v>0.71804870509427798</v>
          </cell>
          <cell r="I423">
            <v>0.64622546294112282</v>
          </cell>
          <cell r="J423">
            <v>0.48383485134342852</v>
          </cell>
        </row>
        <row r="424">
          <cell r="A424" t="str">
            <v>RHES-SHNGAHP</v>
          </cell>
          <cell r="B424" t="str">
            <v>VAR_ncap</v>
          </cell>
          <cell r="C424" t="str">
            <v>-</v>
          </cell>
          <cell r="H424">
            <v>1.4215862067687501E-7</v>
          </cell>
          <cell r="I424">
            <v>8.0887749342136897E-2</v>
          </cell>
          <cell r="J424">
            <v>2.4229451979153601E-2</v>
          </cell>
        </row>
        <row r="425">
          <cell r="A425" t="str">
            <v>RHES-SHNGAHP</v>
          </cell>
          <cell r="B425" t="str">
            <v>VAR_cap</v>
          </cell>
          <cell r="C425" t="str">
            <v>-</v>
          </cell>
          <cell r="H425">
            <v>0.12473601759578154</v>
          </cell>
          <cell r="I425">
            <v>0.10298169402282562</v>
          </cell>
          <cell r="J425">
            <v>8.2932399244051769E-2</v>
          </cell>
        </row>
        <row r="426">
          <cell r="A426" t="str">
            <v>D-RHES_LTH_CHPWOD</v>
          </cell>
          <cell r="B426" t="str">
            <v>VAR_fout</v>
          </cell>
          <cell r="C426" t="str">
            <v>RHES_LTH_CHPWOD_ON</v>
          </cell>
          <cell r="H426">
            <v>2.8288697971067233E-4</v>
          </cell>
        </row>
        <row r="427">
          <cell r="A427" t="str">
            <v>D-RHES_LTH_CHPWOD</v>
          </cell>
          <cell r="B427" t="str">
            <v>VAR_fout</v>
          </cell>
          <cell r="C427" t="str">
            <v>RHSA_LTH</v>
          </cell>
          <cell r="H427">
            <v>1.3312871979536125E-3</v>
          </cell>
          <cell r="I427">
            <v>1.6921960853730625E-3</v>
          </cell>
          <cell r="J427">
            <v>5.1263026406793736E-4</v>
          </cell>
        </row>
        <row r="428">
          <cell r="A428" t="str">
            <v>D-RHES_LTH_CHPWOD</v>
          </cell>
          <cell r="B428" t="str">
            <v>VAR_fout</v>
          </cell>
          <cell r="C428" t="str">
            <v>LTH</v>
          </cell>
          <cell r="H428">
            <v>2.7964596696420505E-7</v>
          </cell>
          <cell r="I428">
            <v>1.0280790622408845E-6</v>
          </cell>
          <cell r="J428">
            <v>3.1166001406586419E-7</v>
          </cell>
        </row>
        <row r="429">
          <cell r="A429" t="str">
            <v>D-RHES_LTH_CHPWOD</v>
          </cell>
          <cell r="B429" t="str">
            <v>VAR_fin</v>
          </cell>
          <cell r="C429" t="str">
            <v>RHES_LTH_CHPWOD</v>
          </cell>
          <cell r="H429">
            <v>1.6157839526256192E-3</v>
          </cell>
          <cell r="I429">
            <v>1.6945455585626931E-3</v>
          </cell>
          <cell r="J429">
            <v>5.1372143454218226E-4</v>
          </cell>
        </row>
        <row r="430">
          <cell r="A430" t="str">
            <v>ITOT-SWHSOLBR</v>
          </cell>
          <cell r="B430" t="str">
            <v>VAR_fout</v>
          </cell>
          <cell r="C430" t="str">
            <v>ITOT-SWHASOL</v>
          </cell>
          <cell r="H430">
            <v>8.5977217459676014E-2</v>
          </cell>
          <cell r="I430">
            <v>5.941396318622888E-2</v>
          </cell>
          <cell r="J430">
            <v>2.5493162179941589E-2</v>
          </cell>
        </row>
        <row r="431">
          <cell r="A431" t="str">
            <v>ITOT-SWHSOLBR</v>
          </cell>
          <cell r="B431" t="str">
            <v>VAR_fin</v>
          </cell>
          <cell r="C431" t="str">
            <v>SOL</v>
          </cell>
          <cell r="H431">
            <v>8.5977217459676014E-2</v>
          </cell>
          <cell r="I431">
            <v>5.941396318622888E-2</v>
          </cell>
          <cell r="J431">
            <v>2.5493162179941589E-2</v>
          </cell>
        </row>
        <row r="432">
          <cell r="A432" t="str">
            <v>ITOT-SWHSOLBR</v>
          </cell>
          <cell r="B432" t="str">
            <v>VAR_ncap</v>
          </cell>
          <cell r="C432" t="str">
            <v>-</v>
          </cell>
          <cell r="H432">
            <v>8.5806305688104698E-3</v>
          </cell>
          <cell r="I432">
            <v>3.9204346461126699E-3</v>
          </cell>
          <cell r="J432">
            <v>6.0254531501710796E-3</v>
          </cell>
        </row>
        <row r="433">
          <cell r="A433" t="str">
            <v>ITOT-SWHSOLBR</v>
          </cell>
          <cell r="B433" t="str">
            <v>VAR_cap</v>
          </cell>
          <cell r="C433" t="str">
            <v>-</v>
          </cell>
          <cell r="H433">
            <v>1.250190301643417E-2</v>
          </cell>
          <cell r="I433">
            <v>1.2501140462610799E-2</v>
          </cell>
          <cell r="J433">
            <v>1.2500204836779299E-2</v>
          </cell>
        </row>
        <row r="434">
          <cell r="A434" t="str">
            <v>SCOM-SHNGAHP</v>
          </cell>
          <cell r="B434" t="str">
            <v>VAR_fout</v>
          </cell>
          <cell r="C434" t="str">
            <v>SCOM-SHANGAH</v>
          </cell>
          <cell r="H434">
            <v>3.8454137583614694</v>
          </cell>
          <cell r="I434">
            <v>4.8363610644588464</v>
          </cell>
          <cell r="J434">
            <v>4.7779869603163325</v>
          </cell>
        </row>
        <row r="435">
          <cell r="A435" t="str">
            <v>SCOM-SHNGAHP</v>
          </cell>
          <cell r="B435" t="str">
            <v>VAR_fout</v>
          </cell>
          <cell r="C435" t="str">
            <v>CO2_S</v>
          </cell>
          <cell r="H435">
            <v>102.69777312451301</v>
          </cell>
          <cell r="I435">
            <v>124.499996679302</v>
          </cell>
          <cell r="J435">
            <v>112.67223643640899</v>
          </cell>
        </row>
        <row r="436">
          <cell r="A436" t="str">
            <v>SCOM-SHNGAHP</v>
          </cell>
          <cell r="B436" t="str">
            <v>VAR_fin</v>
          </cell>
          <cell r="C436" t="str">
            <v>SCOMELCHPC</v>
          </cell>
          <cell r="H436">
            <v>3.8454137583614694</v>
          </cell>
          <cell r="I436">
            <v>4.8363610644588464</v>
          </cell>
          <cell r="J436">
            <v>4.7779869603163325</v>
          </cell>
        </row>
        <row r="437">
          <cell r="A437" t="str">
            <v>SCOM-SHNGAHP</v>
          </cell>
          <cell r="B437" t="str">
            <v>VAR_fin</v>
          </cell>
          <cell r="C437" t="str">
            <v>SNGA</v>
          </cell>
          <cell r="H437">
            <v>1.8208825022076744</v>
          </cell>
          <cell r="I437">
            <v>2.2074467496330175</v>
          </cell>
          <cell r="J437">
            <v>1.9977346885888074</v>
          </cell>
        </row>
        <row r="438">
          <cell r="A438" t="str">
            <v>SCOM-SHNGAHP</v>
          </cell>
          <cell r="B438" t="str">
            <v>VAR_ncap</v>
          </cell>
          <cell r="C438" t="str">
            <v>-</v>
          </cell>
          <cell r="H438">
            <v>6.7964583080059801E-2</v>
          </cell>
          <cell r="I438">
            <v>0.21957655138906901</v>
          </cell>
          <cell r="J438">
            <v>0.186733342218212</v>
          </cell>
        </row>
        <row r="439">
          <cell r="A439" t="str">
            <v>SCOM-SHNGAHP</v>
          </cell>
          <cell r="B439" t="str">
            <v>VAR_cap</v>
          </cell>
          <cell r="C439" t="str">
            <v>-</v>
          </cell>
          <cell r="H439">
            <v>0.29855370196177577</v>
          </cell>
          <cell r="I439">
            <v>0.37548053820177663</v>
          </cell>
          <cell r="J439">
            <v>0.37483591825380286</v>
          </cell>
        </row>
        <row r="440">
          <cell r="A440" t="str">
            <v>RHNS-SHNGABR</v>
          </cell>
          <cell r="B440" t="str">
            <v>VAR_fout</v>
          </cell>
          <cell r="C440" t="str">
            <v>CO2_R</v>
          </cell>
          <cell r="H440">
            <v>3.3165269198131502</v>
          </cell>
          <cell r="I440">
            <v>3.2431664966740801</v>
          </cell>
          <cell r="J440">
            <v>1.9570634530831199</v>
          </cell>
        </row>
        <row r="441">
          <cell r="A441" t="str">
            <v>RHNS-SHNGABR</v>
          </cell>
          <cell r="B441" t="str">
            <v>VAR_fout</v>
          </cell>
          <cell r="C441" t="str">
            <v>RHNS-SHNGA</v>
          </cell>
          <cell r="H441">
            <v>5.6433320021756696E-2</v>
          </cell>
          <cell r="I441">
            <v>5.5185034590631114E-2</v>
          </cell>
          <cell r="J441">
            <v>3.3300977444484771E-2</v>
          </cell>
        </row>
        <row r="442">
          <cell r="A442" t="str">
            <v>RHNS-SHNGABR</v>
          </cell>
          <cell r="B442" t="str">
            <v>VAR_fin</v>
          </cell>
          <cell r="C442" t="str">
            <v>RNGA</v>
          </cell>
          <cell r="H442">
            <v>5.8803668791013244E-2</v>
          </cell>
          <cell r="I442">
            <v>5.75029520686893E-2</v>
          </cell>
          <cell r="J442">
            <v>3.4699706614948964E-2</v>
          </cell>
        </row>
        <row r="443">
          <cell r="A443" t="str">
            <v>RHNS-SHNGABR</v>
          </cell>
          <cell r="B443" t="str">
            <v>VAR_ncap</v>
          </cell>
          <cell r="C443" t="str">
            <v>-</v>
          </cell>
          <cell r="H443">
            <v>3.3875025592611501E-4</v>
          </cell>
          <cell r="I443">
            <v>3.7023396011395902E-3</v>
          </cell>
          <cell r="J443">
            <v>6.79430597737151E-7</v>
          </cell>
        </row>
        <row r="444">
          <cell r="A444" t="str">
            <v>RHNS-SHNGABR</v>
          </cell>
          <cell r="B444" t="str">
            <v>VAR_cap</v>
          </cell>
          <cell r="C444" t="str">
            <v>-</v>
          </cell>
          <cell r="H444">
            <v>4.1686805344260261E-3</v>
          </cell>
          <cell r="I444">
            <v>4.0410751534508058E-3</v>
          </cell>
          <cell r="J444">
            <v>2.8301505553794981E-3</v>
          </cell>
        </row>
        <row r="445">
          <cell r="A445" t="str">
            <v>D-RHNM_LTH_CHPNGA</v>
          </cell>
          <cell r="B445" t="str">
            <v>VAR_fout</v>
          </cell>
          <cell r="C445" t="str">
            <v>RHSA_LTH</v>
          </cell>
          <cell r="H445">
            <v>6.2759378238154296E-3</v>
          </cell>
          <cell r="I445">
            <v>2.522741965203891E-2</v>
          </cell>
          <cell r="J445">
            <v>9.6088918936776752E-6</v>
          </cell>
        </row>
        <row r="446">
          <cell r="A446" t="str">
            <v>D-RHNM_LTH_CHPNGA</v>
          </cell>
          <cell r="B446" t="str">
            <v>VAR_fout</v>
          </cell>
          <cell r="C446" t="str">
            <v>LTH</v>
          </cell>
          <cell r="H446">
            <v>7.6779877904674891E-5</v>
          </cell>
          <cell r="I446">
            <v>4.9848317642710293E-5</v>
          </cell>
          <cell r="J446">
            <v>3.8936681834624986E-6</v>
          </cell>
        </row>
        <row r="447">
          <cell r="A447" t="str">
            <v>D-RHNM_LTH_CHPNGA</v>
          </cell>
          <cell r="B447" t="str">
            <v>VAR_fout</v>
          </cell>
          <cell r="C447" t="str">
            <v>RHNM_LTH_CHPNGA_ON</v>
          </cell>
          <cell r="H447">
            <v>9.6592505320228811E-2</v>
          </cell>
          <cell r="I447">
            <v>2.6682100263000528E-2</v>
          </cell>
          <cell r="J447">
            <v>2.6478294450728688E-6</v>
          </cell>
        </row>
        <row r="448">
          <cell r="A448" t="str">
            <v>D-RHNM_LTH_CHPNGA</v>
          </cell>
          <cell r="B448" t="str">
            <v>VAR_fin</v>
          </cell>
          <cell r="C448" t="str">
            <v>RHNM_LTH_CHPNGA</v>
          </cell>
          <cell r="H448">
            <v>0.10294522302194899</v>
          </cell>
          <cell r="I448">
            <v>5.1959368232682143E-2</v>
          </cell>
          <cell r="J448">
            <v>1.6150389522213044E-5</v>
          </cell>
        </row>
        <row r="449">
          <cell r="A449" t="str">
            <v>RHNM-SHELCHP</v>
          </cell>
          <cell r="B449" t="str">
            <v>VAR_fout</v>
          </cell>
          <cell r="C449" t="str">
            <v>RHNM-SHAELCH</v>
          </cell>
          <cell r="H449">
            <v>2.1419466965858343</v>
          </cell>
          <cell r="I449">
            <v>2.5912589812923148</v>
          </cell>
          <cell r="J449">
            <v>3.2690877913543854</v>
          </cell>
        </row>
        <row r="450">
          <cell r="A450" t="str">
            <v>RHNM-SHELCHP</v>
          </cell>
          <cell r="B450" t="str">
            <v>VAR_fin</v>
          </cell>
          <cell r="C450" t="str">
            <v>RHNM_ELC</v>
          </cell>
          <cell r="H450">
            <v>0.56886582041718237</v>
          </cell>
          <cell r="I450">
            <v>0.66340425428884042</v>
          </cell>
          <cell r="J450">
            <v>0.78199224723594774</v>
          </cell>
        </row>
        <row r="451">
          <cell r="A451" t="str">
            <v>RHNM-SHELCHP</v>
          </cell>
          <cell r="B451" t="str">
            <v>VAR_fin</v>
          </cell>
          <cell r="C451" t="str">
            <v>RHNMELCHPC</v>
          </cell>
          <cell r="H451">
            <v>2.1419466965858343</v>
          </cell>
          <cell r="I451">
            <v>2.5912589812923148</v>
          </cell>
          <cell r="J451">
            <v>3.2690877913543854</v>
          </cell>
        </row>
        <row r="452">
          <cell r="A452" t="str">
            <v>RHNM-SHELCHP</v>
          </cell>
          <cell r="B452" t="str">
            <v>VAR_ncap</v>
          </cell>
          <cell r="C452" t="str">
            <v>-</v>
          </cell>
          <cell r="H452">
            <v>4.2568102168267702E-2</v>
          </cell>
          <cell r="I452">
            <v>0.11099174959688</v>
          </cell>
          <cell r="J452">
            <v>0.15596532935958901</v>
          </cell>
        </row>
        <row r="453">
          <cell r="A453" t="str">
            <v>RHNM-SHELCHP</v>
          </cell>
          <cell r="B453" t="str">
            <v>VAR_cap</v>
          </cell>
          <cell r="C453" t="str">
            <v>-</v>
          </cell>
          <cell r="H453">
            <v>0.16629530607993495</v>
          </cell>
          <cell r="I453">
            <v>0.20115260223446746</v>
          </cell>
          <cell r="J453">
            <v>0.25452172552477159</v>
          </cell>
        </row>
        <row r="454">
          <cell r="A454" t="str">
            <v>D-IH2R</v>
          </cell>
          <cell r="B454" t="str">
            <v>VAR_fout</v>
          </cell>
          <cell r="C454" t="str">
            <v>IH2</v>
          </cell>
          <cell r="H454">
            <v>5.3668155383474341</v>
          </cell>
          <cell r="I454">
            <v>7.9050004802960991</v>
          </cell>
          <cell r="J454">
            <v>8.7182406341413152</v>
          </cell>
        </row>
        <row r="455">
          <cell r="A455" t="str">
            <v>D-IH2R</v>
          </cell>
          <cell r="B455" t="str">
            <v>VAR_fin</v>
          </cell>
          <cell r="C455" t="str">
            <v>H2</v>
          </cell>
          <cell r="H455">
            <v>5.3668155383474341</v>
          </cell>
          <cell r="I455">
            <v>7.9050004802960991</v>
          </cell>
          <cell r="J455">
            <v>8.7182406341413152</v>
          </cell>
        </row>
        <row r="456">
          <cell r="A456" t="str">
            <v>D-IH2R</v>
          </cell>
          <cell r="B456" t="str">
            <v>VAR_ncap</v>
          </cell>
          <cell r="C456" t="str">
            <v>-</v>
          </cell>
          <cell r="H456">
            <v>0.19814483924399201</v>
          </cell>
          <cell r="I456">
            <v>0.24344286351817901</v>
          </cell>
          <cell r="J456">
            <v>0.22378736581603001</v>
          </cell>
        </row>
        <row r="457">
          <cell r="A457" t="str">
            <v>D-IH2R</v>
          </cell>
          <cell r="B457" t="str">
            <v>VAR_cap</v>
          </cell>
          <cell r="C457" t="str">
            <v>-</v>
          </cell>
          <cell r="H457">
            <v>0.19834556299608999</v>
          </cell>
          <cell r="I457">
            <v>0.27853865852933102</v>
          </cell>
          <cell r="J457">
            <v>0.30717171893929002</v>
          </cell>
        </row>
        <row r="458">
          <cell r="A458" t="str">
            <v>RHEM-SHSTG-ELC</v>
          </cell>
          <cell r="B458" t="str">
            <v>VAR_fout</v>
          </cell>
          <cell r="C458" t="str">
            <v>RHEM-SHAELCB</v>
          </cell>
          <cell r="H458">
            <v>3.6880192446567836E-4</v>
          </cell>
          <cell r="I458">
            <v>2.8770754705411436E-4</v>
          </cell>
          <cell r="J458">
            <v>2.5616157592202652E-4</v>
          </cell>
        </row>
        <row r="459">
          <cell r="A459" t="str">
            <v>RHEM-SHSTG-ELC</v>
          </cell>
          <cell r="B459" t="str">
            <v>VAR_fout</v>
          </cell>
          <cell r="C459" t="str">
            <v>AUX_RHEM-SHSTG-ELC_OUT</v>
          </cell>
          <cell r="H459">
            <v>3.6917072639014415E-4</v>
          </cell>
          <cell r="I459">
            <v>2.8799525460116864E-4</v>
          </cell>
          <cell r="J459">
            <v>2.5641773749794856E-4</v>
          </cell>
        </row>
        <row r="460">
          <cell r="A460" t="str">
            <v>RHEM-SHSTG-ELC</v>
          </cell>
          <cell r="B460" t="str">
            <v>VAR_fin</v>
          </cell>
          <cell r="C460" t="str">
            <v>RHEM-SHAELCB</v>
          </cell>
          <cell r="H460">
            <v>3.6906283382736726E-4</v>
          </cell>
          <cell r="I460">
            <v>2.8829644334659539E-4</v>
          </cell>
          <cell r="J460">
            <v>2.5674639244342349E-4</v>
          </cell>
        </row>
        <row r="461">
          <cell r="A461" t="str">
            <v>RHEM-SHSTG-ELC</v>
          </cell>
          <cell r="B461" t="str">
            <v>VAR_ncap</v>
          </cell>
          <cell r="C461" t="str">
            <v>-</v>
          </cell>
          <cell r="H461">
            <v>3.4794349504699297E-5</v>
          </cell>
          <cell r="I461">
            <v>4.21999879599936E-5</v>
          </cell>
          <cell r="J461">
            <v>5.1127065615019603E-5</v>
          </cell>
        </row>
        <row r="462">
          <cell r="A462" t="str">
            <v>RHEM-SHSTG-ELC</v>
          </cell>
          <cell r="B462" t="str">
            <v>VAR_cap</v>
          </cell>
          <cell r="C462" t="str">
            <v>-</v>
          </cell>
          <cell r="H462">
            <v>1.0888321603269926E-4</v>
          </cell>
          <cell r="I462">
            <v>6.3905351427038097E-5</v>
          </cell>
          <cell r="J462">
            <v>7.7930380034561703E-5</v>
          </cell>
        </row>
        <row r="463">
          <cell r="A463" t="str">
            <v>RHNM-SHLTHCHPWOD</v>
          </cell>
          <cell r="B463" t="str">
            <v>VAR_ncap</v>
          </cell>
          <cell r="C463" t="str">
            <v>-</v>
          </cell>
          <cell r="H463">
            <v>7.4826619673647697E-3</v>
          </cell>
          <cell r="I463">
            <v>3.6484041995054201E-3</v>
          </cell>
          <cell r="J463">
            <v>9.61696112137696E-5</v>
          </cell>
        </row>
        <row r="464">
          <cell r="A464" t="str">
            <v>RHNM-SHLTHCHPWOD</v>
          </cell>
          <cell r="B464" t="str">
            <v>VAR_cap</v>
          </cell>
          <cell r="C464" t="str">
            <v>-</v>
          </cell>
          <cell r="H464">
            <v>7.6514898544917638E-3</v>
          </cell>
          <cell r="I464">
            <v>6.9628169870768796E-3</v>
          </cell>
          <cell r="J464">
            <v>2.4195884108455922E-4</v>
          </cell>
        </row>
        <row r="465">
          <cell r="A465" t="str">
            <v>ITOT-SWHDEM</v>
          </cell>
          <cell r="B465" t="str">
            <v>VAR_fout</v>
          </cell>
          <cell r="C465" t="str">
            <v>ITOT-SWHD</v>
          </cell>
          <cell r="H465">
            <v>77.507023151464608</v>
          </cell>
          <cell r="I465">
            <v>77.977668885137618</v>
          </cell>
          <cell r="J465">
            <v>78.624060016013644</v>
          </cell>
        </row>
        <row r="466">
          <cell r="A466" t="str">
            <v>ITOT-SWHDEM</v>
          </cell>
          <cell r="B466" t="str">
            <v>VAR_fin</v>
          </cell>
          <cell r="C466" t="str">
            <v>ITOT-SWHNGAH</v>
          </cell>
          <cell r="H466">
            <v>1.9035217026564539E-3</v>
          </cell>
          <cell r="I466">
            <v>1.5313561634443511E-3</v>
          </cell>
          <cell r="J466">
            <v>1.5646217443766304E-3</v>
          </cell>
        </row>
        <row r="467">
          <cell r="A467" t="str">
            <v>ITOT-SWHDEM</v>
          </cell>
          <cell r="B467" t="str">
            <v>VAR_fin</v>
          </cell>
          <cell r="C467" t="str">
            <v>ITOT-SWH</v>
          </cell>
          <cell r="H467">
            <v>53.653683607447832</v>
          </cell>
          <cell r="I467">
            <v>54.124109560257224</v>
          </cell>
          <cell r="J467">
            <v>51.19398398808206</v>
          </cell>
        </row>
        <row r="468">
          <cell r="A468" t="str">
            <v>ITOT-SWHDEM</v>
          </cell>
          <cell r="B468" t="str">
            <v>VAR_fin</v>
          </cell>
          <cell r="C468" t="str">
            <v>ITOT-SWHELCH</v>
          </cell>
          <cell r="H468">
            <v>8.37586749384886</v>
          </cell>
          <cell r="I468">
            <v>8.3761923037505763</v>
          </cell>
          <cell r="J468">
            <v>8.3442506995842631</v>
          </cell>
        </row>
        <row r="469">
          <cell r="A469" t="str">
            <v>ITOT-SWHDEM</v>
          </cell>
          <cell r="B469" t="str">
            <v>VAR_fin</v>
          </cell>
          <cell r="C469" t="str">
            <v>ITOT-SWHC</v>
          </cell>
          <cell r="H469">
            <v>4.0157825650090393</v>
          </cell>
          <cell r="I469">
            <v>4.0428323371539969</v>
          </cell>
          <cell r="J469">
            <v>4.0429916793334968</v>
          </cell>
        </row>
        <row r="470">
          <cell r="A470" t="str">
            <v>ITOT-SWHDEM</v>
          </cell>
          <cell r="B470" t="str">
            <v>VAR_fin</v>
          </cell>
          <cell r="C470" t="str">
            <v>ITOT-SWHELC</v>
          </cell>
          <cell r="H470">
            <v>11.373910663949269</v>
          </cell>
          <cell r="I470">
            <v>11.373750284892978</v>
          </cell>
          <cell r="J470">
            <v>15.015912898754046</v>
          </cell>
        </row>
        <row r="471">
          <cell r="A471" t="str">
            <v>ITOT-SWHDEM</v>
          </cell>
          <cell r="B471" t="str">
            <v>VAR_fin</v>
          </cell>
          <cell r="C471" t="str">
            <v>ITOT-SWHSOL</v>
          </cell>
          <cell r="H471">
            <v>8.598219083867438E-2</v>
          </cell>
          <cell r="I471">
            <v>5.9387280706481839E-2</v>
          </cell>
          <cell r="J471">
            <v>2.5476241226536585E-2</v>
          </cell>
        </row>
        <row r="472">
          <cell r="A472" t="str">
            <v>D-RHNS_NKEV_GAS_ELC_CHP</v>
          </cell>
          <cell r="B472" t="str">
            <v>VAR_fout</v>
          </cell>
          <cell r="C472" t="str">
            <v>RHNS_ELC</v>
          </cell>
          <cell r="H472">
            <v>2.2109632006132432E-2</v>
          </cell>
          <cell r="I472">
            <v>1.1464299484964932E-2</v>
          </cell>
        </row>
        <row r="473">
          <cell r="A473" t="str">
            <v>D-RHNS_NKEV_GAS_ELC_CHP</v>
          </cell>
          <cell r="B473" t="str">
            <v>VAR_fout</v>
          </cell>
          <cell r="C473" t="str">
            <v>ELC5</v>
          </cell>
          <cell r="H473">
            <v>8.861826912588812E-4</v>
          </cell>
          <cell r="I473">
            <v>4.616462026411883E-4</v>
          </cell>
        </row>
        <row r="474">
          <cell r="A474" t="str">
            <v>D-RHNS_NKEV_GAS_ELC_CHP</v>
          </cell>
          <cell r="B474" t="str">
            <v>VAR_fin</v>
          </cell>
          <cell r="C474" t="str">
            <v>RHNS_NKEV_GAS_ELC_CHP</v>
          </cell>
          <cell r="H474">
            <v>2.2989847168255768E-2</v>
          </cell>
          <cell r="I474">
            <v>1.1920889578413725E-2</v>
          </cell>
        </row>
        <row r="475">
          <cell r="A475" t="str">
            <v>RHNM-SHSTG-NGAHP</v>
          </cell>
          <cell r="B475" t="str">
            <v>VAR_fout</v>
          </cell>
          <cell r="C475" t="str">
            <v>RHNM-SHANGAH</v>
          </cell>
          <cell r="H475">
            <v>4.5476616418091052E-2</v>
          </cell>
          <cell r="I475">
            <v>7.8869889379107855E-2</v>
          </cell>
          <cell r="J475">
            <v>8.2492733747192529E-2</v>
          </cell>
        </row>
        <row r="476">
          <cell r="A476" t="str">
            <v>RHNM-SHSTG-NGAHP</v>
          </cell>
          <cell r="B476" t="str">
            <v>VAR_fout</v>
          </cell>
          <cell r="C476" t="str">
            <v>AUX_RHNM-SHSTG-NGAHP_OUT</v>
          </cell>
          <cell r="H476">
            <v>4.5522093034509117E-2</v>
          </cell>
          <cell r="I476">
            <v>7.8948759268486962E-2</v>
          </cell>
          <cell r="J476">
            <v>8.2575226480939762E-2</v>
          </cell>
        </row>
        <row r="477">
          <cell r="A477" t="str">
            <v>RHNM-SHSTG-NGAHP</v>
          </cell>
          <cell r="B477" t="str">
            <v>VAR_fin</v>
          </cell>
          <cell r="C477" t="str">
            <v>RHNM-SHANGAH</v>
          </cell>
          <cell r="H477">
            <v>4.549609158474438E-2</v>
          </cell>
          <cell r="I477">
            <v>7.8879802967223175E-2</v>
          </cell>
          <cell r="J477">
            <v>8.250252515943382E-2</v>
          </cell>
        </row>
        <row r="478">
          <cell r="A478" t="str">
            <v>RHNM-SHSTG-NGAHP</v>
          </cell>
          <cell r="B478" t="str">
            <v>VAR_ncap</v>
          </cell>
          <cell r="C478" t="str">
            <v>-</v>
          </cell>
          <cell r="H478">
            <v>4.9419773731637501E-3</v>
          </cell>
          <cell r="I478">
            <v>1.0109640162567299E-2</v>
          </cell>
          <cell r="J478">
            <v>1.3597357117447801E-2</v>
          </cell>
        </row>
        <row r="479">
          <cell r="A479" t="str">
            <v>RHNM-SHSTG-NGAHP</v>
          </cell>
          <cell r="B479" t="str">
            <v>VAR_cap</v>
          </cell>
          <cell r="C479" t="str">
            <v>-</v>
          </cell>
          <cell r="H479">
            <v>1.5723167457792085E-2</v>
          </cell>
          <cell r="I479">
            <v>1.9904768811114915E-2</v>
          </cell>
          <cell r="J479">
            <v>2.2985869129999621E-2</v>
          </cell>
        </row>
        <row r="480">
          <cell r="A480" t="str">
            <v>D-IBIO</v>
          </cell>
          <cell r="B480" t="str">
            <v>VAR_fout</v>
          </cell>
          <cell r="C480" t="str">
            <v>IBIO</v>
          </cell>
          <cell r="H480">
            <v>10.858153656976414</v>
          </cell>
          <cell r="I480">
            <v>11.287304822417072</v>
          </cell>
          <cell r="J480">
            <v>11.849421680309014</v>
          </cell>
        </row>
        <row r="481">
          <cell r="A481" t="str">
            <v>D-IBIO</v>
          </cell>
          <cell r="B481" t="str">
            <v>VAR_fin</v>
          </cell>
          <cell r="C481" t="str">
            <v>BIO</v>
          </cell>
          <cell r="H481">
            <v>10.858153656976414</v>
          </cell>
          <cell r="I481">
            <v>11.287304822417072</v>
          </cell>
          <cell r="J481">
            <v>11.849421680309014</v>
          </cell>
        </row>
        <row r="482">
          <cell r="A482" t="str">
            <v>D-RHES_KEV_WOD_ELC_CHP</v>
          </cell>
          <cell r="B482" t="str">
            <v>VAR_fout</v>
          </cell>
          <cell r="C482" t="str">
            <v>RHES_ELC</v>
          </cell>
          <cell r="H482">
            <v>3.8418891870849311E-4</v>
          </cell>
          <cell r="I482">
            <v>4.3566214542968302E-4</v>
          </cell>
          <cell r="J482">
            <v>1.6747824827946598E-4</v>
          </cell>
        </row>
        <row r="483">
          <cell r="A483" t="str">
            <v>D-RHES_KEV_WOD_ELC_CHP</v>
          </cell>
          <cell r="B483" t="str">
            <v>VAR_fout</v>
          </cell>
          <cell r="C483" t="str">
            <v>ELC5</v>
          </cell>
          <cell r="H483">
            <v>2.7687101762857448E-4</v>
          </cell>
          <cell r="I483">
            <v>2.6915131090123241E-4</v>
          </cell>
          <cell r="J483">
            <v>1.1664618419834961E-4</v>
          </cell>
        </row>
        <row r="484">
          <cell r="A484" t="str">
            <v>D-RHES_KEV_WOD_ELC_CHP</v>
          </cell>
          <cell r="B484" t="str">
            <v>VAR_fin</v>
          </cell>
          <cell r="C484" t="str">
            <v>RHES_KEV_WOD_ELC_CHP</v>
          </cell>
          <cell r="H484">
            <v>6.5555373549773836E-4</v>
          </cell>
          <cell r="I484">
            <v>7.0082826178465387E-4</v>
          </cell>
          <cell r="J484">
            <v>2.8038151379972034E-4</v>
          </cell>
        </row>
        <row r="485">
          <cell r="A485" t="str">
            <v>RHNS-SHLFOBR</v>
          </cell>
          <cell r="B485" t="str">
            <v>VAR_fout</v>
          </cell>
          <cell r="C485" t="str">
            <v>CO2_R</v>
          </cell>
          <cell r="H485">
            <v>1.85568020476955</v>
          </cell>
          <cell r="I485">
            <v>1.5420211104688999</v>
          </cell>
        </row>
        <row r="486">
          <cell r="A486" t="str">
            <v>RHNS-SHLFOBR</v>
          </cell>
          <cell r="B486" t="str">
            <v>VAR_fout</v>
          </cell>
          <cell r="C486" t="str">
            <v>RHNS-SHLFO</v>
          </cell>
          <cell r="H486">
            <v>2.390629727907365E-2</v>
          </cell>
          <cell r="I486">
            <v>1.9865499983632594E-2</v>
          </cell>
        </row>
        <row r="487">
          <cell r="A487" t="str">
            <v>RHNS-SHLFOBR</v>
          </cell>
          <cell r="B487" t="str">
            <v>VAR_fin</v>
          </cell>
          <cell r="C487" t="str">
            <v>RLFO</v>
          </cell>
          <cell r="H487">
            <v>2.5178835885611293E-2</v>
          </cell>
          <cell r="I487">
            <v>2.0922945867963415E-2</v>
          </cell>
        </row>
        <row r="488">
          <cell r="A488" t="str">
            <v>RHNS-SHLFOBR</v>
          </cell>
          <cell r="B488" t="str">
            <v>VAR_ncap</v>
          </cell>
          <cell r="C488" t="str">
            <v>-</v>
          </cell>
        </row>
        <row r="489">
          <cell r="A489" t="str">
            <v>RHNS-SHLFOBR</v>
          </cell>
          <cell r="B489" t="str">
            <v>VAR_cap</v>
          </cell>
          <cell r="C489" t="str">
            <v>-</v>
          </cell>
          <cell r="H489">
            <v>8.1794506911961745E-3</v>
          </cell>
          <cell r="I489">
            <v>1.4483659402016276E-3</v>
          </cell>
        </row>
        <row r="490">
          <cell r="A490" t="str">
            <v>D-SNGA</v>
          </cell>
          <cell r="B490" t="str">
            <v>VAR_fout</v>
          </cell>
          <cell r="C490" t="str">
            <v>CO2</v>
          </cell>
          <cell r="H490">
            <v>643.81534575911701</v>
          </cell>
          <cell r="I490">
            <v>374.55689183172501</v>
          </cell>
          <cell r="J490">
            <v>167.57551413467101</v>
          </cell>
        </row>
        <row r="491">
          <cell r="A491" t="str">
            <v>D-SNGA</v>
          </cell>
          <cell r="B491" t="str">
            <v>VAR_fout</v>
          </cell>
          <cell r="C491" t="str">
            <v>SNGA</v>
          </cell>
          <cell r="H491">
            <v>11.37895012877707</v>
          </cell>
          <cell r="I491">
            <v>6.6418681105313029</v>
          </cell>
          <cell r="J491">
            <v>3.1262942109901775</v>
          </cell>
        </row>
        <row r="492">
          <cell r="A492" t="str">
            <v>D-SNGA</v>
          </cell>
          <cell r="B492" t="str">
            <v>VAR_fout</v>
          </cell>
          <cell r="C492" t="str">
            <v>RSH2</v>
          </cell>
          <cell r="H492">
            <v>7.2451328750970006E-4</v>
          </cell>
          <cell r="I492">
            <v>1.3388487607128191E-2</v>
          </cell>
          <cell r="J492">
            <v>7.7523970874605894E-3</v>
          </cell>
        </row>
        <row r="493">
          <cell r="A493" t="str">
            <v>D-SNGA</v>
          </cell>
          <cell r="B493" t="str">
            <v>VAR_fin</v>
          </cell>
          <cell r="C493" t="str">
            <v>NGA</v>
          </cell>
          <cell r="H493">
            <v>11.415165704948881</v>
          </cell>
          <cell r="I493">
            <v>6.6410796424064795</v>
          </cell>
          <cell r="J493">
            <v>2.9711970591253691</v>
          </cell>
        </row>
        <row r="494">
          <cell r="A494" t="str">
            <v>D-SNGA</v>
          </cell>
          <cell r="B494" t="str">
            <v>VAR_fin</v>
          </cell>
          <cell r="C494" t="str">
            <v>BNGA</v>
          </cell>
          <cell r="H494">
            <v>1.4942362774648834E-4</v>
          </cell>
          <cell r="I494">
            <v>2.2135985471149346E-2</v>
          </cell>
          <cell r="J494">
            <v>0.16523428559948686</v>
          </cell>
        </row>
        <row r="495">
          <cell r="A495" t="str">
            <v>D-SNGA</v>
          </cell>
          <cell r="B495" t="str">
            <v>VAR_fin</v>
          </cell>
          <cell r="C495" t="str">
            <v>H2</v>
          </cell>
          <cell r="H495">
            <v>7.2425175733419468E-4</v>
          </cell>
          <cell r="I495">
            <v>1.3387455593551135E-2</v>
          </cell>
          <cell r="J495">
            <v>7.7499635055237508E-3</v>
          </cell>
        </row>
        <row r="496">
          <cell r="A496" t="str">
            <v>D-SNGA</v>
          </cell>
          <cell r="B496" t="str">
            <v>VAR_ncap</v>
          </cell>
          <cell r="C496" t="str">
            <v>-</v>
          </cell>
          <cell r="H496">
            <v>1.9379972398221801E-7</v>
          </cell>
          <cell r="I496">
            <v>2.75375301944591E-7</v>
          </cell>
          <cell r="J496">
            <v>5.0679557315826397E-7</v>
          </cell>
        </row>
        <row r="497">
          <cell r="A497" t="str">
            <v>D-SNGA</v>
          </cell>
          <cell r="B497" t="str">
            <v>VAR_cap</v>
          </cell>
          <cell r="C497" t="str">
            <v>-</v>
          </cell>
          <cell r="H497">
            <v>2.2350530628172884</v>
          </cell>
          <cell r="I497">
            <v>2.2350533381925906</v>
          </cell>
          <cell r="J497">
            <v>1.1208921458518832</v>
          </cell>
        </row>
        <row r="498">
          <cell r="A498" t="str">
            <v>D-IPLT</v>
          </cell>
          <cell r="B498" t="str">
            <v>VAR_fout</v>
          </cell>
          <cell r="C498" t="str">
            <v>IPLT</v>
          </cell>
          <cell r="H498">
            <v>4.1090092178506463</v>
          </cell>
          <cell r="I498">
            <v>4.0975327302061189</v>
          </cell>
          <cell r="J498">
            <v>4.0747699572268594</v>
          </cell>
        </row>
        <row r="499">
          <cell r="A499" t="str">
            <v>D-IPLT</v>
          </cell>
          <cell r="B499" t="str">
            <v>VAR_fin</v>
          </cell>
          <cell r="C499" t="str">
            <v>PLT</v>
          </cell>
          <cell r="H499">
            <v>4.1090092178506463</v>
          </cell>
          <cell r="I499">
            <v>4.0975327302061189</v>
          </cell>
          <cell r="J499">
            <v>4.0747699572268594</v>
          </cell>
        </row>
        <row r="500">
          <cell r="A500" t="str">
            <v>ITOT-SWHWODBR</v>
          </cell>
          <cell r="B500" t="str">
            <v>VAR_fout</v>
          </cell>
          <cell r="C500" t="str">
            <v>ITOT-SWH</v>
          </cell>
          <cell r="H500">
            <v>3.7446748145084756</v>
          </cell>
          <cell r="I500">
            <v>4.9169886068158233</v>
          </cell>
          <cell r="J500">
            <v>4.5417232081779195</v>
          </cell>
        </row>
        <row r="501">
          <cell r="A501" t="str">
            <v>ITOT-SWHWODBR</v>
          </cell>
          <cell r="B501" t="str">
            <v>VAR_fin</v>
          </cell>
          <cell r="C501" t="str">
            <v>IWOD</v>
          </cell>
          <cell r="H501">
            <v>6.2935711168209645</v>
          </cell>
          <cell r="I501">
            <v>8.2407630281829398</v>
          </cell>
          <cell r="J501">
            <v>7.5695386802965334</v>
          </cell>
        </row>
        <row r="502">
          <cell r="A502" t="str">
            <v>ITOT-SWHWODBR</v>
          </cell>
          <cell r="B502" t="str">
            <v>VAR_fin</v>
          </cell>
          <cell r="C502" t="str">
            <v>ITOTWODBRC</v>
          </cell>
          <cell r="H502">
            <v>3.7446748145084756</v>
          </cell>
          <cell r="I502">
            <v>4.9169886068158233</v>
          </cell>
          <cell r="J502">
            <v>4.5417232081779195</v>
          </cell>
        </row>
        <row r="503">
          <cell r="A503" t="str">
            <v>ITOT-SWHWODBR</v>
          </cell>
          <cell r="B503" t="str">
            <v>VAR_ncap</v>
          </cell>
          <cell r="C503" t="str">
            <v>-</v>
          </cell>
          <cell r="H503">
            <v>0.108027761193229</v>
          </cell>
          <cell r="I503">
            <v>0.175360261420481</v>
          </cell>
          <cell r="J503">
            <v>0.11176911377754201</v>
          </cell>
        </row>
        <row r="504">
          <cell r="A504" t="str">
            <v>ITOT-SWHWODBR</v>
          </cell>
          <cell r="B504" t="str">
            <v>VAR_cap</v>
          </cell>
          <cell r="C504" t="str">
            <v>-</v>
          </cell>
          <cell r="H504">
            <v>0.20959850140023367</v>
          </cell>
          <cell r="I504">
            <v>0.28338598291728068</v>
          </cell>
          <cell r="J504">
            <v>0.2847234669262414</v>
          </cell>
        </row>
        <row r="505">
          <cell r="A505" t="str">
            <v>D-ITOT_KEV_WOD_ELC_CHP</v>
          </cell>
          <cell r="B505" t="str">
            <v>VAR_fout</v>
          </cell>
          <cell r="C505" t="str">
            <v>ITOT_ELC</v>
          </cell>
          <cell r="H505">
            <v>2.7609307162776173</v>
          </cell>
          <cell r="I505">
            <v>3.1655518118492498</v>
          </cell>
          <cell r="J505">
            <v>2.9588930951989343</v>
          </cell>
        </row>
        <row r="506">
          <cell r="A506" t="str">
            <v>D-ITOT_KEV_WOD_ELC_CHP</v>
          </cell>
          <cell r="B506" t="str">
            <v>VAR_fout</v>
          </cell>
          <cell r="C506" t="str">
            <v>ELC5</v>
          </cell>
          <cell r="H506">
            <v>2.4360970798134032E-3</v>
          </cell>
          <cell r="I506">
            <v>9.1421654572027278E-3</v>
          </cell>
          <cell r="J506">
            <v>2.9307135441462855E-3</v>
          </cell>
        </row>
        <row r="507">
          <cell r="A507" t="str">
            <v>D-ITOT_KEV_WOD_ELC_CHP</v>
          </cell>
          <cell r="B507" t="str">
            <v>VAR_fin</v>
          </cell>
          <cell r="C507" t="str">
            <v>ITOT_KEV_WOD_ELC_CHP</v>
          </cell>
          <cell r="H507">
            <v>2.7633590538611954</v>
          </cell>
          <cell r="I507">
            <v>3.1746939773064486</v>
          </cell>
          <cell r="J507">
            <v>2.9618238087430813</v>
          </cell>
        </row>
        <row r="508">
          <cell r="A508" t="str">
            <v>RHEM-SHSTG-SOL</v>
          </cell>
          <cell r="B508" t="str">
            <v>VAR_fout</v>
          </cell>
          <cell r="C508" t="str">
            <v>RHEM-SHASOL</v>
          </cell>
          <cell r="H508">
            <v>6.8919309315739301E-3</v>
          </cell>
          <cell r="I508">
            <v>3.0241053074257394E-3</v>
          </cell>
          <cell r="J508">
            <v>2.7682844340407237E-3</v>
          </cell>
        </row>
        <row r="509">
          <cell r="A509" t="str">
            <v>RHEM-SHSTG-SOL</v>
          </cell>
          <cell r="B509" t="str">
            <v>VAR_fout</v>
          </cell>
          <cell r="C509" t="str">
            <v>AUX_RHEM-SHSTG-SOL_OUT</v>
          </cell>
          <cell r="H509">
            <v>6.8988228625055034E-3</v>
          </cell>
          <cell r="I509">
            <v>3.027129412733164E-3</v>
          </cell>
          <cell r="J509">
            <v>2.7710527184747658E-3</v>
          </cell>
        </row>
        <row r="510">
          <cell r="A510" t="str">
            <v>RHEM-SHSTG-SOL</v>
          </cell>
          <cell r="B510" t="str">
            <v>VAR_fin</v>
          </cell>
          <cell r="C510" t="str">
            <v>RHEM-SHASOL</v>
          </cell>
          <cell r="H510">
            <v>6.8938227021477236E-3</v>
          </cell>
          <cell r="I510">
            <v>3.0264857554273329E-3</v>
          </cell>
          <cell r="J510">
            <v>2.7722009126918612E-3</v>
          </cell>
        </row>
        <row r="511">
          <cell r="A511" t="str">
            <v>RHEM-SHSTG-SOL</v>
          </cell>
          <cell r="B511" t="str">
            <v>VAR_ncap</v>
          </cell>
          <cell r="C511" t="str">
            <v>-</v>
          </cell>
          <cell r="H511">
            <v>2.85472374476739E-4</v>
          </cell>
          <cell r="I511">
            <v>2.1135879390899001E-4</v>
          </cell>
          <cell r="J511">
            <v>2.0010886487460699E-4</v>
          </cell>
        </row>
        <row r="512">
          <cell r="A512" t="str">
            <v>RHEM-SHSTG-SOL</v>
          </cell>
          <cell r="B512" t="str">
            <v>VAR_cap</v>
          </cell>
          <cell r="C512" t="str">
            <v>-</v>
          </cell>
          <cell r="H512">
            <v>4.4821151179183201E-3</v>
          </cell>
          <cell r="I512">
            <v>4.9706323907624205E-4</v>
          </cell>
          <cell r="J512">
            <v>4.7425231469026098E-4</v>
          </cell>
        </row>
        <row r="513">
          <cell r="A513" t="str">
            <v>ITOT-SWHCONBR10</v>
          </cell>
          <cell r="B513" t="str">
            <v>VAR_fout</v>
          </cell>
          <cell r="C513" t="str">
            <v>ITOT-ELS</v>
          </cell>
          <cell r="J513">
            <v>9.0566338250675577E-6</v>
          </cell>
        </row>
        <row r="514">
          <cell r="A514" t="str">
            <v>ITOT-SWHCONBR10</v>
          </cell>
          <cell r="B514" t="str">
            <v>VAR_fout</v>
          </cell>
          <cell r="C514" t="str">
            <v>ITOT-SWHC</v>
          </cell>
          <cell r="J514">
            <v>5.6654364512519381E-5</v>
          </cell>
        </row>
        <row r="515">
          <cell r="A515" t="str">
            <v>ITOT-SWHCONBR10</v>
          </cell>
          <cell r="B515" t="str">
            <v>VAR_fin</v>
          </cell>
          <cell r="C515" t="str">
            <v>CON</v>
          </cell>
          <cell r="J515">
            <v>6.5854333004677269E-5</v>
          </cell>
        </row>
        <row r="516">
          <cell r="A516" t="str">
            <v>ITOT-SWHCONBR10</v>
          </cell>
          <cell r="B516" t="str">
            <v>VAR_ncap</v>
          </cell>
          <cell r="C516" t="str">
            <v>-</v>
          </cell>
          <cell r="J516">
            <v>2.79847962108169E-6</v>
          </cell>
        </row>
        <row r="517">
          <cell r="A517" t="str">
            <v>ITOT-SWHCONBR10</v>
          </cell>
          <cell r="B517" t="str">
            <v>VAR_cap</v>
          </cell>
          <cell r="C517" t="str">
            <v>-</v>
          </cell>
          <cell r="J517">
            <v>2.79847962108169E-6</v>
          </cell>
        </row>
        <row r="518">
          <cell r="A518" t="str">
            <v>SCOM-SHSTG</v>
          </cell>
          <cell r="B518" t="str">
            <v>VAR_fout</v>
          </cell>
          <cell r="C518" t="str">
            <v>AUX_SCOM-SHSTG_OUT</v>
          </cell>
          <cell r="H518">
            <v>4.588130982007475E-5</v>
          </cell>
          <cell r="I518">
            <v>4.2067649311179587E-5</v>
          </cell>
          <cell r="J518">
            <v>9.3746232480250164E-4</v>
          </cell>
        </row>
        <row r="519">
          <cell r="A519" t="str">
            <v>SCOM-SHSTG</v>
          </cell>
          <cell r="B519" t="str">
            <v>VAR_fout</v>
          </cell>
          <cell r="C519" t="str">
            <v>SCOM-SHD</v>
          </cell>
          <cell r="H519">
            <v>4.5932345759807809E-5</v>
          </cell>
          <cell r="I519">
            <v>4.2067649311179513E-5</v>
          </cell>
          <cell r="J519">
            <v>9.3746232480250164E-4</v>
          </cell>
        </row>
        <row r="520">
          <cell r="A520" t="str">
            <v>SCOM-SHSTG</v>
          </cell>
          <cell r="B520" t="str">
            <v>VAR_fin</v>
          </cell>
          <cell r="C520" t="str">
            <v>AUX_SCOM-SHSTG_IN</v>
          </cell>
          <cell r="H520">
            <v>3.8632023387376852E-5</v>
          </cell>
          <cell r="I520">
            <v>4.560624420763437E-5</v>
          </cell>
          <cell r="J520">
            <v>9.4754618834893525E-4</v>
          </cell>
        </row>
        <row r="521">
          <cell r="A521" t="str">
            <v>SCOM-SHSTG</v>
          </cell>
          <cell r="B521" t="str">
            <v>VAR_fin</v>
          </cell>
          <cell r="C521" t="str">
            <v>SCOM-SHD</v>
          </cell>
          <cell r="H521">
            <v>3.8632023387376852E-5</v>
          </cell>
          <cell r="I521">
            <v>4.560624420763437E-5</v>
          </cell>
          <cell r="J521">
            <v>9.4754618834893525E-4</v>
          </cell>
        </row>
        <row r="522">
          <cell r="A522" t="str">
            <v>SCOM-SHSTG</v>
          </cell>
          <cell r="B522" t="str">
            <v>VAR_ncap</v>
          </cell>
          <cell r="C522" t="str">
            <v>-</v>
          </cell>
          <cell r="H522">
            <v>3.13961579131059E-5</v>
          </cell>
          <cell r="I522">
            <v>2.5686310568692202E-4</v>
          </cell>
          <cell r="J522">
            <v>2.8912616536945197E-4</v>
          </cell>
        </row>
        <row r="523">
          <cell r="A523" t="str">
            <v>SCOM-SHSTG</v>
          </cell>
          <cell r="B523" t="str">
            <v>VAR_cap</v>
          </cell>
          <cell r="C523" t="str">
            <v>-</v>
          </cell>
          <cell r="H523">
            <v>5.1618125190355834E-4</v>
          </cell>
          <cell r="I523">
            <v>4.5677619502234354E-4</v>
          </cell>
          <cell r="J523">
            <v>5.6813036093530391E-4</v>
          </cell>
        </row>
        <row r="524">
          <cell r="A524" t="str">
            <v>D-ITOT_KEV_HFC_ELC_CHP</v>
          </cell>
          <cell r="B524" t="str">
            <v>VAR_fout</v>
          </cell>
          <cell r="C524" t="str">
            <v>ITOT_ELC</v>
          </cell>
          <cell r="H524">
            <v>2.4894551724493723E-3</v>
          </cell>
          <cell r="I524">
            <v>0.18508386225408563</v>
          </cell>
          <cell r="J524">
            <v>0.20982064860554084</v>
          </cell>
        </row>
        <row r="525">
          <cell r="A525" t="str">
            <v>D-ITOT_KEV_HFC_ELC_CHP</v>
          </cell>
          <cell r="B525" t="str">
            <v>VAR_fout</v>
          </cell>
          <cell r="C525" t="str">
            <v>ELC5</v>
          </cell>
          <cell r="H525">
            <v>1.0546431257659021E-3</v>
          </cell>
          <cell r="I525">
            <v>5.8938727261098464E-3</v>
          </cell>
          <cell r="J525">
            <v>3.7392185188504616E-3</v>
          </cell>
        </row>
        <row r="526">
          <cell r="A526" t="str">
            <v>D-ITOT_KEV_HFC_ELC_CHP</v>
          </cell>
          <cell r="B526" t="str">
            <v>VAR_fin</v>
          </cell>
          <cell r="C526" t="str">
            <v>ITOT_KEV_HFC_ELC_CHP</v>
          </cell>
          <cell r="H526">
            <v>3.536338801991118E-3</v>
          </cell>
          <cell r="I526">
            <v>0.19097251359819115</v>
          </cell>
          <cell r="J526">
            <v>0.21355519650428328</v>
          </cell>
        </row>
        <row r="527">
          <cell r="A527" t="str">
            <v>D-RNGA</v>
          </cell>
          <cell r="B527" t="str">
            <v>VAR_fout</v>
          </cell>
          <cell r="C527" t="str">
            <v>CO2</v>
          </cell>
          <cell r="H527">
            <v>1337.19533335654</v>
          </cell>
          <cell r="I527">
            <v>758.46308835883303</v>
          </cell>
          <cell r="J527">
            <v>407.142331555385</v>
          </cell>
        </row>
        <row r="528">
          <cell r="A528" t="str">
            <v>D-RNGA</v>
          </cell>
          <cell r="B528" t="str">
            <v>VAR_fout</v>
          </cell>
          <cell r="C528" t="str">
            <v>RNGA</v>
          </cell>
          <cell r="H528">
            <v>23.63376807292347</v>
          </cell>
          <cell r="I528">
            <v>13.437695010708632</v>
          </cell>
          <cell r="J528">
            <v>7.4335370996664247</v>
          </cell>
        </row>
        <row r="529">
          <cell r="A529" t="str">
            <v>D-RNGA</v>
          </cell>
          <cell r="B529" t="str">
            <v>VAR_fout</v>
          </cell>
          <cell r="C529" t="str">
            <v>RSH2</v>
          </cell>
          <cell r="H529">
            <v>8.6228675848269763E-4</v>
          </cell>
          <cell r="I529">
            <v>3.5218705855762082E-2</v>
          </cell>
          <cell r="J529">
            <v>2.0733695680469177E-2</v>
          </cell>
        </row>
        <row r="530">
          <cell r="A530" t="str">
            <v>D-RNGA</v>
          </cell>
          <cell r="B530" t="str">
            <v>VAR_fin</v>
          </cell>
          <cell r="C530" t="str">
            <v>NGA</v>
          </cell>
          <cell r="H530">
            <v>23.709137116250719</v>
          </cell>
          <cell r="I530">
            <v>13.447927098560859</v>
          </cell>
          <cell r="J530">
            <v>7.2188356658756083</v>
          </cell>
        </row>
        <row r="531">
          <cell r="A531" t="str">
            <v>D-RNGA</v>
          </cell>
          <cell r="B531" t="str">
            <v>VAR_fin</v>
          </cell>
          <cell r="C531" t="str">
            <v>BNGA</v>
          </cell>
          <cell r="H531">
            <v>1.5099414701871347E-4</v>
          </cell>
          <cell r="I531">
            <v>3.2896277117664512E-2</v>
          </cell>
          <cell r="J531">
            <v>0.2385792309716723</v>
          </cell>
        </row>
        <row r="532">
          <cell r="A532" t="str">
            <v>D-RNGA</v>
          </cell>
          <cell r="B532" t="str">
            <v>VAR_fin</v>
          </cell>
          <cell r="C532" t="str">
            <v>H2</v>
          </cell>
          <cell r="H532">
            <v>8.6202287964637445E-4</v>
          </cell>
          <cell r="I532">
            <v>3.5217189645277563E-2</v>
          </cell>
          <cell r="J532">
            <v>2.0731776617584168E-2</v>
          </cell>
        </row>
        <row r="533">
          <cell r="A533" t="str">
            <v>D-RNGA</v>
          </cell>
          <cell r="B533" t="str">
            <v>VAR_ncap</v>
          </cell>
          <cell r="C533" t="str">
            <v>-</v>
          </cell>
          <cell r="H533">
            <v>7.5876699665347403E-8</v>
          </cell>
          <cell r="I533">
            <v>1.1319119378294E-7</v>
          </cell>
          <cell r="J533">
            <v>1.9962091173572999E-7</v>
          </cell>
        </row>
        <row r="534">
          <cell r="A534" t="str">
            <v>D-RNGA</v>
          </cell>
          <cell r="B534" t="str">
            <v>VAR_cap</v>
          </cell>
          <cell r="C534" t="str">
            <v>-</v>
          </cell>
          <cell r="H534">
            <v>3.0972403558787924</v>
          </cell>
          <cell r="I534">
            <v>3.0972404690699862</v>
          </cell>
          <cell r="J534">
            <v>1.5532829093311979</v>
          </cell>
        </row>
        <row r="535">
          <cell r="A535" t="str">
            <v>RHNS-SHLTHCHPNGA</v>
          </cell>
          <cell r="B535" t="str">
            <v>VAR_fout</v>
          </cell>
          <cell r="C535" t="str">
            <v>RHNS-SHLTHC-NGA</v>
          </cell>
        </row>
        <row r="536">
          <cell r="A536" t="str">
            <v>RHNS-SHLTHCHPNGA</v>
          </cell>
          <cell r="B536" t="str">
            <v>VAR_fin</v>
          </cell>
          <cell r="C536" t="str">
            <v>RHNSLTHCHPC</v>
          </cell>
        </row>
        <row r="537">
          <cell r="A537" t="str">
            <v>RHNS-SHLTHCHPNGA</v>
          </cell>
          <cell r="B537" t="str">
            <v>VAR_fin</v>
          </cell>
          <cell r="C537" t="str">
            <v>RHNS_LTH_CHPNGA_ON</v>
          </cell>
        </row>
        <row r="538">
          <cell r="A538" t="str">
            <v>RHNS-SHLTHCHPNGA</v>
          </cell>
          <cell r="B538" t="str">
            <v>VAR_ncap</v>
          </cell>
          <cell r="C538" t="str">
            <v>-</v>
          </cell>
          <cell r="H538">
            <v>2.0588049452166602E-3</v>
          </cell>
          <cell r="I538">
            <v>8.41693604605568E-4</v>
          </cell>
          <cell r="J538">
            <v>1.5887445325275701E-8</v>
          </cell>
        </row>
        <row r="539">
          <cell r="A539" t="str">
            <v>RHNS-SHLTHCHPNGA</v>
          </cell>
          <cell r="B539" t="str">
            <v>VAR_cap</v>
          </cell>
          <cell r="C539" t="str">
            <v>-</v>
          </cell>
          <cell r="H539">
            <v>3.8211468035013992E-3</v>
          </cell>
          <cell r="I539">
            <v>1.7520664582135297E-3</v>
          </cell>
        </row>
        <row r="540">
          <cell r="A540" t="str">
            <v>D-SCOM_KEV_BIO_ELC_CHP</v>
          </cell>
          <cell r="B540" t="str">
            <v>VAR_fout</v>
          </cell>
          <cell r="C540" t="str">
            <v>ELC5</v>
          </cell>
          <cell r="H540">
            <v>9.2414305395588977E-4</v>
          </cell>
          <cell r="I540">
            <v>7.223484388746115E-4</v>
          </cell>
          <cell r="J540">
            <v>4.5441653222696646E-4</v>
          </cell>
        </row>
        <row r="541">
          <cell r="A541" t="str">
            <v>D-SCOM_KEV_BIO_ELC_CHP</v>
          </cell>
          <cell r="B541" t="str">
            <v>VAR_fout</v>
          </cell>
          <cell r="C541" t="str">
            <v>SCOM_ELC</v>
          </cell>
          <cell r="H541">
            <v>1.1050249397470686</v>
          </cell>
          <cell r="I541">
            <v>1.1052263198930856</v>
          </cell>
          <cell r="J541">
            <v>1.1054924361686254</v>
          </cell>
        </row>
        <row r="542">
          <cell r="A542" t="str">
            <v>D-SCOM_KEV_BIO_ELC_CHP</v>
          </cell>
          <cell r="B542" t="str">
            <v>VAR_fin</v>
          </cell>
          <cell r="C542" t="str">
            <v>SCOM_KEV_BIO_ELC_CHP</v>
          </cell>
          <cell r="H542">
            <v>1.105942244452869</v>
          </cell>
          <cell r="I542">
            <v>1.1059419488828197</v>
          </cell>
          <cell r="J542">
            <v>1.1059418032682184</v>
          </cell>
        </row>
        <row r="543">
          <cell r="A543" t="str">
            <v>RHES-SHLTHCHPWOD</v>
          </cell>
          <cell r="B543" t="str">
            <v>VAR_ncap</v>
          </cell>
          <cell r="C543" t="str">
            <v>-</v>
          </cell>
          <cell r="H543">
            <v>9.7381878011900904E-5</v>
          </cell>
          <cell r="I543">
            <v>7.1555113026898403E-5</v>
          </cell>
          <cell r="J543">
            <v>2.4100344749337299E-5</v>
          </cell>
        </row>
        <row r="544">
          <cell r="A544" t="str">
            <v>RHES-SHLTHCHPWOD</v>
          </cell>
          <cell r="B544" t="str">
            <v>VAR_cap</v>
          </cell>
          <cell r="C544" t="str">
            <v>-</v>
          </cell>
          <cell r="H544">
            <v>1.2690545085804661E-4</v>
          </cell>
          <cell r="I544">
            <v>1.2458750850016668E-4</v>
          </cell>
          <cell r="J544">
            <v>4.6099095447180508E-5</v>
          </cell>
        </row>
        <row r="545">
          <cell r="A545" t="str">
            <v>RHES-SHSTG-NGAHP</v>
          </cell>
          <cell r="B545" t="str">
            <v>VAR_fout</v>
          </cell>
          <cell r="C545" t="str">
            <v>RHES-SHANGAH</v>
          </cell>
          <cell r="H545">
            <v>9.9056261838026433E-2</v>
          </cell>
          <cell r="I545">
            <v>9.1705568186200806E-2</v>
          </cell>
          <cell r="J545">
            <v>6.2842755552624197E-2</v>
          </cell>
        </row>
        <row r="546">
          <cell r="A546" t="str">
            <v>RHES-SHSTG-NGAHP</v>
          </cell>
          <cell r="B546" t="str">
            <v>VAR_fout</v>
          </cell>
          <cell r="C546" t="str">
            <v>AUX_RHES-SHSTG-NGAHP_OUT</v>
          </cell>
          <cell r="H546">
            <v>9.915531809986447E-2</v>
          </cell>
          <cell r="I546">
            <v>9.179727375438701E-2</v>
          </cell>
          <cell r="J546">
            <v>6.2905598308176866E-2</v>
          </cell>
        </row>
        <row r="547">
          <cell r="A547" t="str">
            <v>RHES-SHSTG-NGAHP</v>
          </cell>
          <cell r="B547" t="str">
            <v>VAR_fin</v>
          </cell>
          <cell r="C547" t="str">
            <v>RHES-SHANGAH</v>
          </cell>
          <cell r="H547">
            <v>9.9066281748214663E-2</v>
          </cell>
          <cell r="I547">
            <v>9.1714875535791787E-2</v>
          </cell>
          <cell r="J547">
            <v>6.2851741013319043E-2</v>
          </cell>
        </row>
        <row r="548">
          <cell r="A548" t="str">
            <v>RHES-SHSTG-NGAHP</v>
          </cell>
          <cell r="B548" t="str">
            <v>VAR_ncap</v>
          </cell>
          <cell r="C548" t="str">
            <v>-</v>
          </cell>
          <cell r="H548">
            <v>3.1473302558379597E-5</v>
          </cell>
          <cell r="I548">
            <v>1.4264340218846001E-2</v>
          </cell>
          <cell r="J548">
            <v>4.2886143012226203E-3</v>
          </cell>
        </row>
        <row r="549">
          <cell r="A549" t="str">
            <v>RHES-SHSTG-NGAHP</v>
          </cell>
          <cell r="B549" t="str">
            <v>VAR_cap</v>
          </cell>
          <cell r="C549" t="str">
            <v>-</v>
          </cell>
          <cell r="H549">
            <v>2.2007785914352596E-2</v>
          </cell>
          <cell r="I549">
            <v>1.817381606568564E-2</v>
          </cell>
          <cell r="J549">
            <v>1.4636554436296167E-2</v>
          </cell>
        </row>
        <row r="550">
          <cell r="A550" t="str">
            <v>D-RHNS_SOLELC</v>
          </cell>
          <cell r="B550" t="str">
            <v>VAR_fout</v>
          </cell>
          <cell r="C550" t="str">
            <v>RHNS_ELC</v>
          </cell>
          <cell r="H550">
            <v>7.1899235243213662</v>
          </cell>
          <cell r="I550">
            <v>7.5570404685022732</v>
          </cell>
          <cell r="J550">
            <v>8.3454744820959288</v>
          </cell>
        </row>
        <row r="551">
          <cell r="A551" t="str">
            <v>D-RHNS_SOLELC</v>
          </cell>
          <cell r="B551" t="str">
            <v>VAR_fout</v>
          </cell>
          <cell r="C551" t="str">
            <v>ELC5</v>
          </cell>
          <cell r="H551">
            <v>7.2792950820222183E-4</v>
          </cell>
          <cell r="I551">
            <v>5.5870198612909786E-4</v>
          </cell>
          <cell r="J551">
            <v>1.0477825522899843E-3</v>
          </cell>
        </row>
        <row r="552">
          <cell r="A552" t="str">
            <v>D-RHNS_SOLELC</v>
          </cell>
          <cell r="B552" t="str">
            <v>VAR_fin</v>
          </cell>
          <cell r="C552" t="str">
            <v>RHNS_SOL_ELC</v>
          </cell>
          <cell r="H552">
            <v>7.1906514538295694</v>
          </cell>
          <cell r="I552">
            <v>7.5575991704884053</v>
          </cell>
          <cell r="J552">
            <v>8.3465222646482218</v>
          </cell>
        </row>
        <row r="553">
          <cell r="A553" t="str">
            <v>D-IHFO</v>
          </cell>
          <cell r="B553" t="str">
            <v>VAR_fout</v>
          </cell>
          <cell r="C553" t="str">
            <v>CO2</v>
          </cell>
          <cell r="H553">
            <v>4.2297569992639901E-2</v>
          </cell>
          <cell r="I553">
            <v>0.18022401883742201</v>
          </cell>
        </row>
        <row r="554">
          <cell r="A554" t="str">
            <v>D-IHFO</v>
          </cell>
          <cell r="B554" t="str">
            <v>VAR_fout</v>
          </cell>
          <cell r="C554" t="str">
            <v>IHFO</v>
          </cell>
          <cell r="H554">
            <v>5.4014482182297154E-4</v>
          </cell>
          <cell r="I554">
            <v>2.3014813985791248E-3</v>
          </cell>
        </row>
        <row r="555">
          <cell r="A555" t="str">
            <v>D-IHFO</v>
          </cell>
          <cell r="B555" t="str">
            <v>VAR_fin</v>
          </cell>
          <cell r="C555" t="str">
            <v>HFO</v>
          </cell>
          <cell r="H555">
            <v>5.493190908135052E-4</v>
          </cell>
          <cell r="I555">
            <v>2.3405716732132768E-3</v>
          </cell>
        </row>
        <row r="556">
          <cell r="A556" t="str">
            <v>RHEM-SHCONBR</v>
          </cell>
          <cell r="B556" t="str">
            <v>VAR_fout</v>
          </cell>
          <cell r="C556" t="str">
            <v>RHEM-SHCON</v>
          </cell>
          <cell r="H556">
            <v>1.2287727386982457E-4</v>
          </cell>
          <cell r="I556">
            <v>1.3329176555661041E-4</v>
          </cell>
          <cell r="J556">
            <v>7.5050683903220576E-4</v>
          </cell>
        </row>
        <row r="557">
          <cell r="A557" t="str">
            <v>RHEM-SHCONBR</v>
          </cell>
          <cell r="B557" t="str">
            <v>VAR_fin</v>
          </cell>
          <cell r="C557" t="str">
            <v>CON</v>
          </cell>
          <cell r="H557">
            <v>1.2287727386982457E-4</v>
          </cell>
          <cell r="I557">
            <v>1.3329176555661041E-4</v>
          </cell>
          <cell r="J557">
            <v>7.5050683903220576E-4</v>
          </cell>
        </row>
        <row r="558">
          <cell r="A558" t="str">
            <v>RHEM-SHCONBR</v>
          </cell>
          <cell r="B558" t="str">
            <v>VAR_ncap</v>
          </cell>
          <cell r="C558" t="str">
            <v>-</v>
          </cell>
          <cell r="H558">
            <v>1.82442624496449E-7</v>
          </cell>
          <cell r="I558">
            <v>1.3643446804233499E-6</v>
          </cell>
          <cell r="J558">
            <v>4.3972809119486403E-5</v>
          </cell>
        </row>
        <row r="559">
          <cell r="A559" t="str">
            <v>RHEM-SHCONBR</v>
          </cell>
          <cell r="B559" t="str">
            <v>VAR_cap</v>
          </cell>
          <cell r="C559" t="str">
            <v>-</v>
          </cell>
          <cell r="H559">
            <v>6.7234728381246045E-6</v>
          </cell>
          <cell r="I559">
            <v>8.070368089959433E-6</v>
          </cell>
          <cell r="J559">
            <v>5.2111166119028001E-5</v>
          </cell>
        </row>
        <row r="560">
          <cell r="A560" t="str">
            <v>RHEM-SHSOLBR</v>
          </cell>
          <cell r="B560" t="str">
            <v>VAR_fout</v>
          </cell>
          <cell r="C560" t="str">
            <v>RHEM-SHASOL</v>
          </cell>
          <cell r="H560">
            <v>1.3628358538116716E-2</v>
          </cell>
          <cell r="I560">
            <v>1.4402630526254555E-2</v>
          </cell>
          <cell r="J560">
            <v>1.3764376940311886E-2</v>
          </cell>
        </row>
        <row r="561">
          <cell r="A561" t="str">
            <v>RHEM-SHSOLBR</v>
          </cell>
          <cell r="B561" t="str">
            <v>VAR_fin</v>
          </cell>
          <cell r="C561" t="str">
            <v>SOL</v>
          </cell>
          <cell r="H561">
            <v>1.3628358538116716E-2</v>
          </cell>
          <cell r="I561">
            <v>1.4402630526254555E-2</v>
          </cell>
          <cell r="J561">
            <v>1.3764376940311886E-2</v>
          </cell>
        </row>
        <row r="562">
          <cell r="A562" t="str">
            <v>RHEM-SHSOLBR</v>
          </cell>
          <cell r="B562" t="str">
            <v>VAR_ncap</v>
          </cell>
          <cell r="C562" t="str">
            <v>-</v>
          </cell>
          <cell r="H562">
            <v>5.2368106084172498E-7</v>
          </cell>
          <cell r="I562">
            <v>2.1213720066005498E-3</v>
          </cell>
          <cell r="J562">
            <v>4.8854078438934003E-4</v>
          </cell>
        </row>
        <row r="563">
          <cell r="A563" t="str">
            <v>RHEM-SHSOLBR</v>
          </cell>
          <cell r="B563" t="str">
            <v>VAR_cap</v>
          </cell>
          <cell r="C563" t="str">
            <v>-</v>
          </cell>
          <cell r="H563">
            <v>1.9045508179093371E-2</v>
          </cell>
          <cell r="I563">
            <v>2.1217961725964181E-3</v>
          </cell>
          <cell r="J563">
            <v>2.0281835150461995E-3</v>
          </cell>
        </row>
        <row r="564">
          <cell r="A564" t="str">
            <v>SCOM-SHH2BR</v>
          </cell>
          <cell r="B564" t="str">
            <v>VAR_ncap</v>
          </cell>
          <cell r="C564" t="str">
            <v>-</v>
          </cell>
          <cell r="H564">
            <v>0.87069881087508705</v>
          </cell>
          <cell r="I564">
            <v>0.58827467003827105</v>
          </cell>
          <cell r="J564">
            <v>0.63737007412852598</v>
          </cell>
        </row>
        <row r="565">
          <cell r="A565" t="str">
            <v>SCOM-SHH2BR</v>
          </cell>
          <cell r="B565" t="str">
            <v>VAR_cap</v>
          </cell>
          <cell r="C565" t="str">
            <v>-</v>
          </cell>
          <cell r="H565">
            <v>0.87069884636322115</v>
          </cell>
          <cell r="I565">
            <v>1.4589729753347842</v>
          </cell>
          <cell r="J565">
            <v>1.4326009822522348</v>
          </cell>
        </row>
        <row r="566">
          <cell r="A566" t="str">
            <v>ITOT-SWHCONBR1</v>
          </cell>
          <cell r="B566" t="str">
            <v>VAR_fout</v>
          </cell>
          <cell r="C566" t="str">
            <v>ITOT-ELS</v>
          </cell>
          <cell r="H566">
            <v>0.8443203192022829</v>
          </cell>
          <cell r="I566">
            <v>0.84431983248588871</v>
          </cell>
          <cell r="J566">
            <v>0.844319557250924</v>
          </cell>
        </row>
        <row r="567">
          <cell r="A567" t="str">
            <v>ITOT-SWHCONBR1</v>
          </cell>
          <cell r="B567" t="str">
            <v>VAR_fout</v>
          </cell>
          <cell r="C567" t="str">
            <v>ITOT-SWHC</v>
          </cell>
          <cell r="H567">
            <v>4.0137726736310801</v>
          </cell>
          <cell r="I567">
            <v>4.0137703598540435</v>
          </cell>
          <cell r="J567">
            <v>4.0137690514281346</v>
          </cell>
        </row>
        <row r="568">
          <cell r="A568" t="str">
            <v>ITOT-SWHCONBR1</v>
          </cell>
          <cell r="B568" t="str">
            <v>VAR_fin</v>
          </cell>
          <cell r="C568" t="str">
            <v>CON</v>
          </cell>
          <cell r="H568">
            <v>4.8580929928333614</v>
          </cell>
          <cell r="I568">
            <v>4.8580901923399296</v>
          </cell>
          <cell r="J568">
            <v>4.858088608679056</v>
          </cell>
        </row>
        <row r="569">
          <cell r="A569" t="str">
            <v>ITOT-SWHCONBR1</v>
          </cell>
          <cell r="B569" t="str">
            <v>VAR_ncap</v>
          </cell>
          <cell r="C569" t="str">
            <v>-</v>
          </cell>
          <cell r="H569">
            <v>0.14741004874091099</v>
          </cell>
          <cell r="I569">
            <v>7.66739779951916E-2</v>
          </cell>
          <cell r="J569">
            <v>0.146237461357247</v>
          </cell>
        </row>
        <row r="570">
          <cell r="A570" t="str">
            <v>ITOT-SWHCONBR1</v>
          </cell>
          <cell r="B570" t="str">
            <v>VAR_cap</v>
          </cell>
          <cell r="C570" t="str">
            <v>-</v>
          </cell>
          <cell r="H570">
            <v>0.26420291059776702</v>
          </cell>
          <cell r="I570">
            <v>0.26420269956255499</v>
          </cell>
          <cell r="J570">
            <v>0.26423599976894202</v>
          </cell>
        </row>
        <row r="571">
          <cell r="A571" t="str">
            <v>SCOM-SHLTHCHPWOD</v>
          </cell>
          <cell r="B571" t="str">
            <v>VAR_ncap</v>
          </cell>
          <cell r="C571" t="str">
            <v>-</v>
          </cell>
          <cell r="H571">
            <v>9.1557548320998406E-5</v>
          </cell>
          <cell r="I571">
            <v>6.7308367393067303E-5</v>
          </cell>
          <cell r="J571">
            <v>3.3337573365614498E-5</v>
          </cell>
        </row>
        <row r="572">
          <cell r="A572" t="str">
            <v>SCOM-SHLTHCHPWOD</v>
          </cell>
          <cell r="B572" t="str">
            <v>VAR_cap</v>
          </cell>
          <cell r="C572" t="str">
            <v>-</v>
          </cell>
          <cell r="H572">
            <v>1.165298814395164E-4</v>
          </cell>
          <cell r="I572">
            <v>1.0410634415177199E-4</v>
          </cell>
          <cell r="J572">
            <v>5.4753619133452998E-5</v>
          </cell>
        </row>
        <row r="573">
          <cell r="A573" t="str">
            <v>SCOM-SHSTG-NGAHP</v>
          </cell>
          <cell r="B573" t="str">
            <v>VAR_fout</v>
          </cell>
          <cell r="C573" t="str">
            <v>SCOM-SHANGAH</v>
          </cell>
          <cell r="H573">
            <v>1.9528982816921637E-5</v>
          </cell>
          <cell r="I573">
            <v>1.6285128696754867E-5</v>
          </cell>
          <cell r="J573">
            <v>4.5694800766580296E-6</v>
          </cell>
        </row>
        <row r="574">
          <cell r="A574" t="str">
            <v>SCOM-SHSTG-NGAHP</v>
          </cell>
          <cell r="B574" t="str">
            <v>VAR_fin</v>
          </cell>
          <cell r="C574" t="str">
            <v>SCOM-SHANGAH</v>
          </cell>
          <cell r="H574">
            <v>2.4176847642888683E-5</v>
          </cell>
          <cell r="I574">
            <v>1.6483840792666912E-5</v>
          </cell>
          <cell r="J574">
            <v>4.2442316655829492E-6</v>
          </cell>
        </row>
        <row r="575">
          <cell r="A575" t="str">
            <v>SCOM-SHSTG-NGAHP</v>
          </cell>
          <cell r="B575" t="str">
            <v>VAR_ncap</v>
          </cell>
          <cell r="C575" t="str">
            <v>-</v>
          </cell>
          <cell r="H575">
            <v>1.60228744883519E-2</v>
          </cell>
          <cell r="I575">
            <v>5.1689839020675102E-2</v>
          </cell>
          <cell r="J575">
            <v>4.3946635215692698E-2</v>
          </cell>
        </row>
        <row r="576">
          <cell r="A576" t="str">
            <v>SCOM-SHSTG-NGAHP</v>
          </cell>
          <cell r="B576" t="str">
            <v>VAR_cap</v>
          </cell>
          <cell r="C576" t="str">
            <v>-</v>
          </cell>
          <cell r="H576">
            <v>7.0247794676807959E-2</v>
          </cell>
          <cell r="I576">
            <v>8.834853113571893E-2</v>
          </cell>
          <cell r="J576">
            <v>8.8196834315590888E-2</v>
          </cell>
        </row>
        <row r="577">
          <cell r="A577" t="str">
            <v>ITOT-SWHCONBR2</v>
          </cell>
          <cell r="B577" t="str">
            <v>VAR_fout</v>
          </cell>
          <cell r="C577" t="str">
            <v>ITOT-ELS</v>
          </cell>
          <cell r="H577">
            <v>5.3984636924092676E-4</v>
          </cell>
          <cell r="I577">
            <v>1.790526565644104E-2</v>
          </cell>
          <cell r="J577">
            <v>1.7904066350030664E-2</v>
          </cell>
        </row>
        <row r="578">
          <cell r="A578" t="str">
            <v>ITOT-SWHCONBR2</v>
          </cell>
          <cell r="B578" t="str">
            <v>VAR_fout</v>
          </cell>
          <cell r="C578" t="str">
            <v>ITOT-SWHC</v>
          </cell>
          <cell r="H578">
            <v>8.3449917571111216E-4</v>
          </cell>
          <cell r="I578">
            <v>2.7678114149768628E-2</v>
          </cell>
          <cell r="J578">
            <v>2.767626025157114E-2</v>
          </cell>
        </row>
        <row r="579">
          <cell r="A579" t="str">
            <v>ITOT-SWHCONBR2</v>
          </cell>
          <cell r="B579" t="str">
            <v>VAR_fin</v>
          </cell>
          <cell r="C579" t="str">
            <v>CON</v>
          </cell>
          <cell r="H579">
            <v>1.3743455449520391E-3</v>
          </cell>
          <cell r="I579">
            <v>4.5583379806209676E-2</v>
          </cell>
          <cell r="J579">
            <v>4.5580326601601807E-2</v>
          </cell>
        </row>
        <row r="580">
          <cell r="A580" t="str">
            <v>ITOT-SWHCONBR2</v>
          </cell>
          <cell r="B580" t="str">
            <v>VAR_ncap</v>
          </cell>
          <cell r="C580" t="str">
            <v>-</v>
          </cell>
          <cell r="H580">
            <v>4.4213305827957101E-5</v>
          </cell>
          <cell r="I580">
            <v>2.41458133443003E-3</v>
          </cell>
          <cell r="J580">
            <v>7.0813052268546301E-4</v>
          </cell>
        </row>
        <row r="581">
          <cell r="A581" t="str">
            <v>ITOT-SWHCONBR2</v>
          </cell>
          <cell r="B581" t="str">
            <v>VAR_cap</v>
          </cell>
          <cell r="C581" t="str">
            <v>-</v>
          </cell>
          <cell r="H581">
            <v>7.4418466612129406E-5</v>
          </cell>
          <cell r="I581">
            <v>2.4794243515545299E-3</v>
          </cell>
          <cell r="J581">
            <v>2.4791751350893699E-3</v>
          </cell>
        </row>
        <row r="582">
          <cell r="A582" t="str">
            <v>RHES-SHCONBR1</v>
          </cell>
          <cell r="B582" t="str">
            <v>VAR_fout</v>
          </cell>
          <cell r="C582" t="str">
            <v>RHES-SHCON</v>
          </cell>
          <cell r="H582">
            <v>3.4863189222983597</v>
          </cell>
          <cell r="I582">
            <v>4.011022959377252</v>
          </cell>
          <cell r="J582">
            <v>6.414232610302415</v>
          </cell>
        </row>
        <row r="583">
          <cell r="A583" t="str">
            <v>RHES-SHCONBR1</v>
          </cell>
          <cell r="B583" t="str">
            <v>VAR_fin</v>
          </cell>
          <cell r="C583" t="str">
            <v>CON</v>
          </cell>
          <cell r="H583">
            <v>3.4863189222983597</v>
          </cell>
          <cell r="I583">
            <v>4.011022959377252</v>
          </cell>
          <cell r="J583">
            <v>6.414232610302415</v>
          </cell>
        </row>
        <row r="584">
          <cell r="A584" t="str">
            <v>RHES-SHCONBR1</v>
          </cell>
          <cell r="B584" t="str">
            <v>VAR_ncap</v>
          </cell>
          <cell r="C584" t="str">
            <v>-</v>
          </cell>
          <cell r="H584">
            <v>0.12510307333713599</v>
          </cell>
          <cell r="I584">
            <v>4.2392409493432599E-2</v>
          </cell>
          <cell r="J584">
            <v>0.23606890435469899</v>
          </cell>
        </row>
        <row r="585">
          <cell r="A585" t="str">
            <v>RHES-SHCONBR1</v>
          </cell>
          <cell r="B585" t="str">
            <v>VAR_cap</v>
          </cell>
          <cell r="C585" t="str">
            <v>-</v>
          </cell>
          <cell r="H585">
            <v>0.28165539615521146</v>
          </cell>
          <cell r="I585">
            <v>0.32404777474531887</v>
          </cell>
          <cell r="J585">
            <v>0.51819306422631617</v>
          </cell>
        </row>
        <row r="586">
          <cell r="A586" t="str">
            <v>ITOT-SWHCONBR3</v>
          </cell>
          <cell r="B586" t="str">
            <v>VAR_fout</v>
          </cell>
          <cell r="C586" t="str">
            <v>ITOT-ELS</v>
          </cell>
          <cell r="H586">
            <v>2.277826095862727E-4</v>
          </cell>
          <cell r="I586">
            <v>2.3377595296944742E-4</v>
          </cell>
          <cell r="J586">
            <v>2.328818168997543E-4</v>
          </cell>
        </row>
        <row r="587">
          <cell r="A587" t="str">
            <v>ITOT-SWHCONBR3</v>
          </cell>
          <cell r="B587" t="str">
            <v>VAR_fout</v>
          </cell>
          <cell r="C587" t="str">
            <v>ITOT-SWHC</v>
          </cell>
          <cell r="H587">
            <v>4.5204751005526719E-4</v>
          </cell>
          <cell r="I587">
            <v>4.6394163998112581E-4</v>
          </cell>
          <cell r="J587">
            <v>4.6216717622952775E-4</v>
          </cell>
        </row>
        <row r="588">
          <cell r="A588" t="str">
            <v>ITOT-SWHCONBR3</v>
          </cell>
          <cell r="B588" t="str">
            <v>VAR_fin</v>
          </cell>
          <cell r="C588" t="str">
            <v>CON</v>
          </cell>
          <cell r="H588">
            <v>6.7983011964154057E-4</v>
          </cell>
          <cell r="I588">
            <v>6.9771759295057356E-4</v>
          </cell>
          <cell r="J588">
            <v>6.9504899312928256E-4</v>
          </cell>
        </row>
        <row r="589">
          <cell r="A589" t="str">
            <v>ITOT-SWHCONBR3</v>
          </cell>
          <cell r="B589" t="str">
            <v>VAR_ncap</v>
          </cell>
          <cell r="C589" t="str">
            <v>-</v>
          </cell>
          <cell r="H589">
            <v>1.7022129162864798E-5</v>
          </cell>
          <cell r="I589">
            <v>7.2941984059497099E-6</v>
          </cell>
          <cell r="J589">
            <v>2.4936828720290301E-5</v>
          </cell>
        </row>
        <row r="590">
          <cell r="A590" t="str">
            <v>ITOT-SWHCONBR3</v>
          </cell>
          <cell r="B590" t="str">
            <v>VAR_cap</v>
          </cell>
          <cell r="C590" t="str">
            <v>-</v>
          </cell>
          <cell r="H590">
            <v>3.6434213761339003E-5</v>
          </cell>
          <cell r="I590">
            <v>3.7574515591452003E-5</v>
          </cell>
          <cell r="J590">
            <v>3.7430742623656998E-5</v>
          </cell>
        </row>
        <row r="591">
          <cell r="A591" t="str">
            <v>ITOT-ELCSPECADV</v>
          </cell>
          <cell r="B591" t="str">
            <v>VAR_fout</v>
          </cell>
          <cell r="C591" t="str">
            <v>ITOT-ELS</v>
          </cell>
          <cell r="H591">
            <v>4.801378169281877E-4</v>
          </cell>
          <cell r="I591">
            <v>6.6963623385396433E-4</v>
          </cell>
          <cell r="J591">
            <v>3.5496589588730212E-4</v>
          </cell>
        </row>
        <row r="592">
          <cell r="A592" t="str">
            <v>ITOT-ELCSPECADV</v>
          </cell>
          <cell r="B592" t="str">
            <v>VAR_fin</v>
          </cell>
          <cell r="C592" t="str">
            <v>ITOT_ELC</v>
          </cell>
          <cell r="H592">
            <v>4.4663982970063971E-4</v>
          </cell>
          <cell r="I592">
            <v>6.0876021259451357E-4</v>
          </cell>
          <cell r="J592">
            <v>3.0866599642374089E-4</v>
          </cell>
        </row>
        <row r="593">
          <cell r="A593" t="str">
            <v>ITOT-ELCSPECADV</v>
          </cell>
          <cell r="B593" t="str">
            <v>VAR_ncap</v>
          </cell>
          <cell r="C593" t="str">
            <v>-</v>
          </cell>
          <cell r="H593">
            <v>1.02616139532077E-5</v>
          </cell>
          <cell r="I593">
            <v>1.34821872712115E-6</v>
          </cell>
          <cell r="J593">
            <v>1.9328052571815301E-7</v>
          </cell>
        </row>
        <row r="594">
          <cell r="A594" t="str">
            <v>ITOT-ELCSPECADV</v>
          </cell>
          <cell r="B594" t="str">
            <v>VAR_cap</v>
          </cell>
          <cell r="C594" t="str">
            <v>-</v>
          </cell>
          <cell r="H594">
            <v>3.6241958255616107E-5</v>
          </cell>
          <cell r="I594">
            <v>3.7448838385375654E-5</v>
          </cell>
          <cell r="J594">
            <v>2.8231704891246506E-5</v>
          </cell>
        </row>
        <row r="595">
          <cell r="A595" t="str">
            <v>RHES-SHELCBR</v>
          </cell>
          <cell r="B595" t="str">
            <v>VAR_fout</v>
          </cell>
          <cell r="C595" t="str">
            <v>RHES-SHAELCB</v>
          </cell>
          <cell r="H595">
            <v>1.2202379583149714E-2</v>
          </cell>
          <cell r="I595">
            <v>2.315602606283339E-3</v>
          </cell>
          <cell r="J595">
            <v>7.8893650125897905E-4</v>
          </cell>
        </row>
        <row r="596">
          <cell r="A596" t="str">
            <v>RHES-SHELCBR</v>
          </cell>
          <cell r="B596" t="str">
            <v>VAR_fin</v>
          </cell>
          <cell r="C596" t="str">
            <v>RHES_ELC</v>
          </cell>
          <cell r="H596">
            <v>1.3282870936571971E-2</v>
          </cell>
          <cell r="I596">
            <v>2.5206436457791258E-3</v>
          </cell>
          <cell r="J596">
            <v>8.465591935666616E-4</v>
          </cell>
        </row>
        <row r="597">
          <cell r="A597" t="str">
            <v>RHES-SHELCBR</v>
          </cell>
          <cell r="B597" t="str">
            <v>VAR_ncap</v>
          </cell>
          <cell r="C597" t="str">
            <v>-</v>
          </cell>
          <cell r="H597">
            <v>1.1595807153345999E-6</v>
          </cell>
          <cell r="I597">
            <v>1.8667186579009201E-4</v>
          </cell>
          <cell r="J597">
            <v>1.1025718814842E-7</v>
          </cell>
        </row>
        <row r="598">
          <cell r="A598" t="str">
            <v>RHES-SHELCBR</v>
          </cell>
          <cell r="B598" t="str">
            <v>VAR_cap</v>
          </cell>
          <cell r="C598" t="str">
            <v>-</v>
          </cell>
          <cell r="H598">
            <v>1.7974892121780106E-3</v>
          </cell>
          <cell r="I598">
            <v>1.8766793675184922E-4</v>
          </cell>
          <cell r="J598">
            <v>6.3642577245206683E-5</v>
          </cell>
        </row>
        <row r="599">
          <cell r="A599" t="str">
            <v>RHSA-WHELCBR</v>
          </cell>
          <cell r="B599" t="str">
            <v>VAR_fout</v>
          </cell>
          <cell r="C599" t="str">
            <v>RHSA-WHAELCB</v>
          </cell>
          <cell r="H599">
            <v>1.8369891449544204</v>
          </cell>
          <cell r="I599">
            <v>1.7153977331489281</v>
          </cell>
          <cell r="J599">
            <v>1.5591591627904853</v>
          </cell>
        </row>
        <row r="600">
          <cell r="A600" t="str">
            <v>RHSA-WHELCBR</v>
          </cell>
          <cell r="B600" t="str">
            <v>VAR_fin</v>
          </cell>
          <cell r="C600" t="str">
            <v>RHSA_ELC</v>
          </cell>
          <cell r="H600">
            <v>3.7030997419367235</v>
          </cell>
          <cell r="I600">
            <v>3.4001510176479375</v>
          </cell>
          <cell r="J600">
            <v>3.0045931884422776</v>
          </cell>
        </row>
        <row r="601">
          <cell r="A601" t="str">
            <v>RHSA-WHELCBR</v>
          </cell>
          <cell r="B601" t="str">
            <v>VAR_ncap</v>
          </cell>
          <cell r="C601" t="str">
            <v>-</v>
          </cell>
          <cell r="H601">
            <v>5.3427044203245101E-2</v>
          </cell>
          <cell r="I601">
            <v>7.3821412090808794E-2</v>
          </cell>
          <cell r="J601">
            <v>3.3071631698751602E-2</v>
          </cell>
        </row>
        <row r="602">
          <cell r="A602" t="str">
            <v>RHSA-WHELCBR</v>
          </cell>
          <cell r="B602" t="str">
            <v>VAR_cap</v>
          </cell>
          <cell r="C602" t="str">
            <v>-</v>
          </cell>
          <cell r="H602">
            <v>0.12699103230456668</v>
          </cell>
          <cell r="I602">
            <v>0.1272481274313749</v>
          </cell>
          <cell r="J602">
            <v>0.10924522261067154</v>
          </cell>
        </row>
        <row r="603">
          <cell r="A603" t="str">
            <v>ITOT-SWHLTHDH</v>
          </cell>
          <cell r="B603" t="str">
            <v>VAR_fout</v>
          </cell>
          <cell r="C603" t="str">
            <v>ITOT-SWH</v>
          </cell>
          <cell r="H603">
            <v>7.166040441066043</v>
          </cell>
          <cell r="I603">
            <v>7.2037641580285063</v>
          </cell>
          <cell r="J603">
            <v>8.866039810911273</v>
          </cell>
        </row>
        <row r="604">
          <cell r="A604" t="str">
            <v>ITOT-SWHLTHDH</v>
          </cell>
          <cell r="B604" t="str">
            <v>VAR_fin</v>
          </cell>
          <cell r="C604" t="str">
            <v>ITOT_LTH_DH</v>
          </cell>
          <cell r="H604">
            <v>7.6289090443296024</v>
          </cell>
          <cell r="I604">
            <v>7.6288652821313514</v>
          </cell>
          <cell r="J604">
            <v>9.3326734851697584</v>
          </cell>
        </row>
        <row r="605">
          <cell r="A605" t="str">
            <v>ITOT-SWHLTHDH</v>
          </cell>
          <cell r="B605" t="str">
            <v>VAR_fin</v>
          </cell>
          <cell r="C605" t="str">
            <v>ITOTLTHDHC</v>
          </cell>
          <cell r="H605">
            <v>7.166040441066043</v>
          </cell>
          <cell r="I605">
            <v>7.2037641580285063</v>
          </cell>
          <cell r="J605">
            <v>8.866039810911273</v>
          </cell>
        </row>
        <row r="606">
          <cell r="A606" t="str">
            <v>ITOT-SWHLTHDH</v>
          </cell>
          <cell r="B606" t="str">
            <v>VAR_ncap</v>
          </cell>
          <cell r="C606" t="str">
            <v>-</v>
          </cell>
          <cell r="H606">
            <v>0.29669518338766299</v>
          </cell>
          <cell r="I606">
            <v>0.20967366222311601</v>
          </cell>
          <cell r="J606">
            <v>0.543938803294304</v>
          </cell>
        </row>
        <row r="607">
          <cell r="A607" t="str">
            <v>ITOT-SWHLTHDH</v>
          </cell>
          <cell r="B607" t="str">
            <v>VAR_cap</v>
          </cell>
          <cell r="C607" t="str">
            <v>-</v>
          </cell>
          <cell r="H607">
            <v>0.54356959020290696</v>
          </cell>
          <cell r="I607">
            <v>0.52217177280380289</v>
          </cell>
          <cell r="J607">
            <v>0.79546766845202899</v>
          </cell>
        </row>
        <row r="608">
          <cell r="A608" t="str">
            <v>RHES-SHCONBR2</v>
          </cell>
          <cell r="B608" t="str">
            <v>VAR_fout</v>
          </cell>
          <cell r="C608" t="str">
            <v>RHES-SHCON</v>
          </cell>
          <cell r="H608">
            <v>1.4193407040864945</v>
          </cell>
          <cell r="I608">
            <v>2.9190733282252581</v>
          </cell>
          <cell r="J608">
            <v>4.6680653398200187</v>
          </cell>
        </row>
        <row r="609">
          <cell r="A609" t="str">
            <v>RHES-SHCONBR2</v>
          </cell>
          <cell r="B609" t="str">
            <v>VAR_fin</v>
          </cell>
          <cell r="C609" t="str">
            <v>CON</v>
          </cell>
          <cell r="H609">
            <v>1.4193407040864945</v>
          </cell>
          <cell r="I609">
            <v>2.9190733282252581</v>
          </cell>
          <cell r="J609">
            <v>4.6680653398200187</v>
          </cell>
        </row>
        <row r="610">
          <cell r="A610" t="str">
            <v>RHES-SHCONBR2</v>
          </cell>
          <cell r="B610" t="str">
            <v>VAR_ncap</v>
          </cell>
          <cell r="C610" t="str">
            <v>-</v>
          </cell>
          <cell r="H610">
            <v>4.82283137412063E-2</v>
          </cell>
          <cell r="I610">
            <v>0.121162734995996</v>
          </cell>
          <cell r="J610">
            <v>0.17180297039140499</v>
          </cell>
        </row>
        <row r="611">
          <cell r="A611" t="str">
            <v>RHES-SHCONBR2</v>
          </cell>
          <cell r="B611" t="str">
            <v>VAR_cap</v>
          </cell>
          <cell r="C611" t="str">
            <v>-</v>
          </cell>
          <cell r="H611">
            <v>0.11466890078081819</v>
          </cell>
          <cell r="I611">
            <v>0.23583160475295373</v>
          </cell>
          <cell r="J611">
            <v>0.3771239665148694</v>
          </cell>
        </row>
        <row r="612">
          <cell r="A612" t="str">
            <v>ITOT-SWHCONBR4</v>
          </cell>
          <cell r="B612" t="str">
            <v>VAR_fout</v>
          </cell>
          <cell r="C612" t="str">
            <v>ITOT-ELS</v>
          </cell>
          <cell r="H612">
            <v>3.8607855316443469E-5</v>
          </cell>
          <cell r="I612">
            <v>3.8729232422749159E-5</v>
          </cell>
          <cell r="J612">
            <v>3.7874472755990459E-5</v>
          </cell>
        </row>
        <row r="613">
          <cell r="A613" t="str">
            <v>ITOT-SWHCONBR4</v>
          </cell>
          <cell r="B613" t="str">
            <v>VAR_fout</v>
          </cell>
          <cell r="C613" t="str">
            <v>ITOT-SWHC</v>
          </cell>
          <cell r="H613">
            <v>4.1490080102225368E-4</v>
          </cell>
          <cell r="I613">
            <v>4.1620518476020665E-4</v>
          </cell>
          <cell r="J613">
            <v>4.0701947714933448E-4</v>
          </cell>
        </row>
        <row r="614">
          <cell r="A614" t="str">
            <v>ITOT-SWHCONBR4</v>
          </cell>
          <cell r="B614" t="str">
            <v>VAR_fin</v>
          </cell>
          <cell r="C614" t="str">
            <v>CON</v>
          </cell>
          <cell r="H614">
            <v>4.535086563386974E-4</v>
          </cell>
          <cell r="I614">
            <v>4.549344171829562E-4</v>
          </cell>
          <cell r="J614">
            <v>4.4489394990532462E-4</v>
          </cell>
        </row>
        <row r="615">
          <cell r="A615" t="str">
            <v>ITOT-SWHCONBR4</v>
          </cell>
          <cell r="B615" t="str">
            <v>VAR_ncap</v>
          </cell>
          <cell r="C615" t="str">
            <v>-</v>
          </cell>
          <cell r="H615">
            <v>2.3455635677436299E-5</v>
          </cell>
          <cell r="I615">
            <v>1.5934342775669499E-7</v>
          </cell>
          <cell r="J615">
            <v>1.3619966563261499E-5</v>
          </cell>
        </row>
        <row r="616">
          <cell r="A616" t="str">
            <v>ITOT-SWHCONBR4</v>
          </cell>
          <cell r="B616" t="str">
            <v>VAR_cap</v>
          </cell>
          <cell r="C616" t="str">
            <v>-</v>
          </cell>
          <cell r="H616">
            <v>2.3455635677436299E-5</v>
          </cell>
          <cell r="I616">
            <v>2.3614979105193001E-5</v>
          </cell>
          <cell r="J616">
            <v>2.36572158660085E-5</v>
          </cell>
        </row>
        <row r="617">
          <cell r="A617" t="str">
            <v>D-ITOT_NKEV_GAS_ELC_CHP</v>
          </cell>
          <cell r="B617" t="str">
            <v>VAR_fout</v>
          </cell>
          <cell r="C617" t="str">
            <v>ITOT_ELC</v>
          </cell>
          <cell r="H617">
            <v>9.4814085142909149E-2</v>
          </cell>
          <cell r="I617">
            <v>0.66775620207572439</v>
          </cell>
          <cell r="J617">
            <v>0.18775918165734526</v>
          </cell>
        </row>
        <row r="618">
          <cell r="A618" t="str">
            <v>D-ITOT_NKEV_GAS_ELC_CHP</v>
          </cell>
          <cell r="B618" t="str">
            <v>VAR_fout</v>
          </cell>
          <cell r="C618" t="str">
            <v>ELC5</v>
          </cell>
          <cell r="H618">
            <v>2.0215858612486499E-3</v>
          </cell>
          <cell r="I618">
            <v>2.2197087397197945E-3</v>
          </cell>
          <cell r="J618">
            <v>9.8475883143874063E-4</v>
          </cell>
        </row>
        <row r="619">
          <cell r="A619" t="str">
            <v>D-ITOT_NKEV_GAS_ELC_CHP</v>
          </cell>
          <cell r="B619" t="str">
            <v>VAR_fin</v>
          </cell>
          <cell r="C619" t="str">
            <v>ITOT_NKEV_GAS_ELC_CHP</v>
          </cell>
          <cell r="H619">
            <v>9.6835671004157783E-2</v>
          </cell>
          <cell r="I619">
            <v>0.66997591081544361</v>
          </cell>
          <cell r="J619">
            <v>0.18874394048878401</v>
          </cell>
        </row>
        <row r="620">
          <cell r="A620" t="str">
            <v>SCOM-SHELCBR</v>
          </cell>
          <cell r="B620" t="str">
            <v>VAR_fout</v>
          </cell>
          <cell r="C620" t="str">
            <v>SCOM-SHAELCB</v>
          </cell>
          <cell r="H620">
            <v>0.25361785462763237</v>
          </cell>
          <cell r="I620">
            <v>0.21486408002372692</v>
          </cell>
          <cell r="J620">
            <v>0.15867135197874258</v>
          </cell>
        </row>
        <row r="621">
          <cell r="A621" t="str">
            <v>SCOM-SHELCBR</v>
          </cell>
          <cell r="B621" t="str">
            <v>VAR_fin</v>
          </cell>
          <cell r="C621" t="str">
            <v>SCOM_ELC</v>
          </cell>
          <cell r="H621">
            <v>0.50613422111761608</v>
          </cell>
          <cell r="I621">
            <v>0.41867670636250448</v>
          </cell>
          <cell r="J621">
            <v>0.29563609791950096</v>
          </cell>
        </row>
        <row r="622">
          <cell r="A622" t="str">
            <v>SCOM-SHELCBR</v>
          </cell>
          <cell r="B622" t="str">
            <v>VAR_ncap</v>
          </cell>
          <cell r="C622" t="str">
            <v>-</v>
          </cell>
          <cell r="H622">
            <v>1.04760116488486E-2</v>
          </cell>
          <cell r="I622">
            <v>1.3241103518109301E-2</v>
          </cell>
          <cell r="J622">
            <v>1.26944185535721E-3</v>
          </cell>
        </row>
        <row r="623">
          <cell r="A623" t="str">
            <v>SCOM-SHELCBR</v>
          </cell>
          <cell r="B623" t="str">
            <v>VAR_cap</v>
          </cell>
          <cell r="C623" t="str">
            <v>-</v>
          </cell>
          <cell r="H623">
            <v>2.0797574860649294E-2</v>
          </cell>
          <cell r="I623">
            <v>2.3716652063757032E-2</v>
          </cell>
          <cell r="J623">
            <v>1.5308982452681835E-2</v>
          </cell>
        </row>
        <row r="624">
          <cell r="A624" t="str">
            <v>RHES-SHCONBR3</v>
          </cell>
          <cell r="B624" t="str">
            <v>VAR_fout</v>
          </cell>
          <cell r="C624" t="str">
            <v>RHES-SHCON</v>
          </cell>
          <cell r="H624">
            <v>1.3397324507412851</v>
          </cell>
          <cell r="I624">
            <v>1.3396993152612335</v>
          </cell>
          <cell r="J624">
            <v>1.1319162573753776</v>
          </cell>
        </row>
        <row r="625">
          <cell r="A625" t="str">
            <v>RHES-SHCONBR3</v>
          </cell>
          <cell r="B625" t="str">
            <v>VAR_fin</v>
          </cell>
          <cell r="C625" t="str">
            <v>CON</v>
          </cell>
          <cell r="H625">
            <v>1.3397324507412851</v>
          </cell>
          <cell r="I625">
            <v>1.3396993152612335</v>
          </cell>
          <cell r="J625">
            <v>1.1319162573753776</v>
          </cell>
        </row>
        <row r="626">
          <cell r="A626" t="str">
            <v>RHES-SHCONBR3</v>
          </cell>
          <cell r="B626" t="str">
            <v>VAR_ncap</v>
          </cell>
          <cell r="C626" t="str">
            <v>-</v>
          </cell>
          <cell r="H626">
            <v>3.2343823057497703E-8</v>
          </cell>
          <cell r="I626">
            <v>4.7003106216323501E-8</v>
          </cell>
          <cell r="J626">
            <v>3.2969439532825003E-2</v>
          </cell>
        </row>
        <row r="627">
          <cell r="A627" t="str">
            <v>RHES-SHCONBR3</v>
          </cell>
          <cell r="B627" t="str">
            <v>VAR_cap</v>
          </cell>
          <cell r="C627" t="str">
            <v>-</v>
          </cell>
          <cell r="H627">
            <v>0.10823743550465087</v>
          </cell>
          <cell r="I627">
            <v>0.10823745206394332</v>
          </cell>
          <cell r="J627">
            <v>9.1445143851037775E-2</v>
          </cell>
        </row>
        <row r="628">
          <cell r="A628" t="str">
            <v>ITOT-SWHCONBR5</v>
          </cell>
          <cell r="B628" t="str">
            <v>VAR_fout</v>
          </cell>
          <cell r="C628" t="str">
            <v>ITOT-ELS</v>
          </cell>
          <cell r="H628">
            <v>6.2885149620084448E-5</v>
          </cell>
          <cell r="I628">
            <v>6.3933654177922918E-5</v>
          </cell>
          <cell r="J628">
            <v>6.1930351881130027E-5</v>
          </cell>
        </row>
        <row r="629">
          <cell r="A629" t="str">
            <v>ITOT-SWHCONBR5</v>
          </cell>
          <cell r="B629" t="str">
            <v>VAR_fout</v>
          </cell>
          <cell r="C629" t="str">
            <v>ITOT-SWHC</v>
          </cell>
          <cell r="H629">
            <v>3.0844389117083877E-4</v>
          </cell>
          <cell r="I629">
            <v>3.1358667651338652E-4</v>
          </cell>
          <cell r="J629">
            <v>3.037607262000404E-4</v>
          </cell>
        </row>
        <row r="630">
          <cell r="A630" t="str">
            <v>ITOT-SWHCONBR5</v>
          </cell>
          <cell r="B630" t="str">
            <v>VAR_fin</v>
          </cell>
          <cell r="C630" t="str">
            <v>CON</v>
          </cell>
          <cell r="H630">
            <v>3.7132904079092337E-4</v>
          </cell>
          <cell r="I630">
            <v>3.7752033069130898E-4</v>
          </cell>
          <cell r="J630">
            <v>3.6569107808117056E-4</v>
          </cell>
        </row>
        <row r="631">
          <cell r="A631" t="str">
            <v>ITOT-SWHCONBR5</v>
          </cell>
          <cell r="B631" t="str">
            <v>VAR_ncap</v>
          </cell>
          <cell r="C631" t="str">
            <v>-</v>
          </cell>
          <cell r="H631">
            <v>1.9272382442402401E-5</v>
          </cell>
          <cell r="I631">
            <v>1.6336047516175299E-7</v>
          </cell>
          <cell r="J631">
            <v>1.11271648718502E-5</v>
          </cell>
        </row>
        <row r="632">
          <cell r="A632" t="str">
            <v>ITOT-SWHCONBR5</v>
          </cell>
          <cell r="B632" t="str">
            <v>VAR_cap</v>
          </cell>
          <cell r="C632" t="str">
            <v>-</v>
          </cell>
          <cell r="H632">
            <v>1.9272382442402401E-5</v>
          </cell>
          <cell r="I632">
            <v>1.9435742917564201E-5</v>
          </cell>
          <cell r="J632">
            <v>1.93978357369317E-5</v>
          </cell>
        </row>
        <row r="633">
          <cell r="A633" t="str">
            <v>RHES-SHSTG-ELC</v>
          </cell>
          <cell r="B633" t="str">
            <v>VAR_fout</v>
          </cell>
          <cell r="C633" t="str">
            <v>RHES-SHAELCB</v>
          </cell>
          <cell r="H633">
            <v>1.5598208453593936E-3</v>
          </cell>
          <cell r="I633">
            <v>1.9992367929890208E-4</v>
          </cell>
          <cell r="J633">
            <v>8.4142296842314396E-5</v>
          </cell>
        </row>
        <row r="634">
          <cell r="A634" t="str">
            <v>RHES-SHSTG-ELC</v>
          </cell>
          <cell r="B634" t="str">
            <v>VAR_fout</v>
          </cell>
          <cell r="C634" t="str">
            <v>AUX_RHES-SHSTG-ELC_OUT</v>
          </cell>
          <cell r="H634">
            <v>1.5613806662047509E-3</v>
          </cell>
          <cell r="I634">
            <v>2.0012360297820103E-4</v>
          </cell>
          <cell r="J634">
            <v>8.4226439139156723E-5</v>
          </cell>
        </row>
        <row r="635">
          <cell r="A635" t="str">
            <v>RHES-SHSTG-ELC</v>
          </cell>
          <cell r="B635" t="str">
            <v>VAR_fin</v>
          </cell>
          <cell r="C635" t="str">
            <v>RHES-SHAELCB</v>
          </cell>
          <cell r="H635">
            <v>1.5601282971045428E-3</v>
          </cell>
          <cell r="I635">
            <v>2.0035632924624822E-4</v>
          </cell>
          <cell r="J635">
            <v>8.4719331181029418E-5</v>
          </cell>
        </row>
        <row r="636">
          <cell r="A636" t="str">
            <v>RHES-SHSTG-ELC</v>
          </cell>
          <cell r="B636" t="str">
            <v>VAR_ncap</v>
          </cell>
          <cell r="C636" t="str">
            <v>-</v>
          </cell>
          <cell r="H636">
            <v>1.6144583240572802E-5</v>
          </cell>
          <cell r="I636">
            <v>3.45009952675974E-5</v>
          </cell>
          <cell r="J636">
            <v>7.2843809846840601E-6</v>
          </cell>
        </row>
        <row r="637">
          <cell r="A637" t="str">
            <v>RHES-SHSTG-ELC</v>
          </cell>
          <cell r="B637" t="str">
            <v>VAR_cap</v>
          </cell>
          <cell r="C637" t="str">
            <v>-</v>
          </cell>
          <cell r="H637">
            <v>3.1767490459989889E-4</v>
          </cell>
          <cell r="I637">
            <v>4.1430740987866201E-5</v>
          </cell>
          <cell r="J637">
            <v>2.4021125911231398E-5</v>
          </cell>
        </row>
        <row r="638">
          <cell r="A638" t="str">
            <v>RHES-SHCONBR4</v>
          </cell>
          <cell r="B638" t="str">
            <v>VAR_fout</v>
          </cell>
          <cell r="C638" t="str">
            <v>RHES-SHCON</v>
          </cell>
          <cell r="H638">
            <v>0.42663498558121127</v>
          </cell>
          <cell r="I638">
            <v>0.42660863668212784</v>
          </cell>
          <cell r="J638">
            <v>0.24666289222163132</v>
          </cell>
        </row>
        <row r="639">
          <cell r="A639" t="str">
            <v>RHES-SHCONBR4</v>
          </cell>
          <cell r="B639" t="str">
            <v>VAR_fin</v>
          </cell>
          <cell r="C639" t="str">
            <v>CON</v>
          </cell>
          <cell r="H639">
            <v>0.42663498558121127</v>
          </cell>
          <cell r="I639">
            <v>0.42660863668212784</v>
          </cell>
          <cell r="J639">
            <v>0.24666289222163132</v>
          </cell>
        </row>
        <row r="640">
          <cell r="A640" t="str">
            <v>RHES-SHCONBR4</v>
          </cell>
          <cell r="B640" t="str">
            <v>VAR_ncap</v>
          </cell>
          <cell r="C640" t="str">
            <v>-</v>
          </cell>
          <cell r="H640">
            <v>2.1978929556422499E-8</v>
          </cell>
          <cell r="I640">
            <v>3.0821058567982198E-8</v>
          </cell>
          <cell r="J640">
            <v>1.18774668950144E-7</v>
          </cell>
        </row>
        <row r="641">
          <cell r="A641" t="str">
            <v>RHES-SHCONBR4</v>
          </cell>
          <cell r="B641" t="str">
            <v>VAR_cap</v>
          </cell>
          <cell r="C641" t="str">
            <v>-</v>
          </cell>
          <cell r="H641">
            <v>3.447062850766363E-2</v>
          </cell>
          <cell r="I641">
            <v>3.4470620012286998E-2</v>
          </cell>
          <cell r="J641">
            <v>1.9927705978533172E-2</v>
          </cell>
        </row>
        <row r="642">
          <cell r="A642" t="str">
            <v>ITOT-SWHCONBR6</v>
          </cell>
          <cell r="B642" t="str">
            <v>VAR_fout</v>
          </cell>
          <cell r="C642" t="str">
            <v>ITOT-SWHC</v>
          </cell>
          <cell r="I642">
            <v>1.901296489289088E-4</v>
          </cell>
          <cell r="J642">
            <v>1.7759928381471058E-4</v>
          </cell>
        </row>
        <row r="643">
          <cell r="A643" t="str">
            <v>ITOT-SWHCONBR6</v>
          </cell>
          <cell r="B643" t="str">
            <v>VAR_fin</v>
          </cell>
          <cell r="C643" t="str">
            <v>CON</v>
          </cell>
          <cell r="I643">
            <v>1.901296489289088E-4</v>
          </cell>
          <cell r="J643">
            <v>1.7759928381471058E-4</v>
          </cell>
        </row>
        <row r="644">
          <cell r="A644" t="str">
            <v>ITOT-SWHCONBR6</v>
          </cell>
          <cell r="B644" t="str">
            <v>VAR_ncap</v>
          </cell>
          <cell r="C644" t="str">
            <v>-</v>
          </cell>
          <cell r="I644">
            <v>9.2086933836385094E-6</v>
          </cell>
          <cell r="J644">
            <v>2.3864445408377202E-6</v>
          </cell>
        </row>
        <row r="645">
          <cell r="A645" t="str">
            <v>ITOT-SWHCONBR6</v>
          </cell>
          <cell r="B645" t="str">
            <v>VAR_cap</v>
          </cell>
          <cell r="C645" t="str">
            <v>-</v>
          </cell>
          <cell r="I645">
            <v>9.2086933836385094E-6</v>
          </cell>
          <cell r="J645">
            <v>9.0695020404368504E-6</v>
          </cell>
        </row>
        <row r="646">
          <cell r="A646" t="str">
            <v>RHNM-SHNGAHP</v>
          </cell>
          <cell r="B646" t="str">
            <v>VAR_fout</v>
          </cell>
          <cell r="C646" t="str">
            <v>CO2_R</v>
          </cell>
          <cell r="H646">
            <v>23.902426084137499</v>
          </cell>
          <cell r="I646">
            <v>29.757253434928401</v>
          </cell>
          <cell r="J646">
            <v>33.338146343090798</v>
          </cell>
        </row>
        <row r="647">
          <cell r="A647" t="str">
            <v>RHNM-SHNGAHP</v>
          </cell>
          <cell r="B647" t="str">
            <v>VAR_fout</v>
          </cell>
          <cell r="C647" t="str">
            <v>RHNM-SHANGAH</v>
          </cell>
          <cell r="H647">
            <v>0.86060888916830869</v>
          </cell>
          <cell r="I647">
            <v>1.0893358284776791</v>
          </cell>
          <cell r="J647">
            <v>1.2545797552158673</v>
          </cell>
        </row>
        <row r="648">
          <cell r="A648" t="str">
            <v>RHNM-SHNGAHP</v>
          </cell>
          <cell r="B648" t="str">
            <v>VAR_fin</v>
          </cell>
          <cell r="C648" t="str">
            <v>RNGA</v>
          </cell>
          <cell r="H648">
            <v>0.423801880924423</v>
          </cell>
          <cell r="I648">
            <v>0.52761087650582172</v>
          </cell>
          <cell r="J648">
            <v>0.59110188551579479</v>
          </cell>
        </row>
        <row r="649">
          <cell r="A649" t="str">
            <v>RHNM-SHNGAHP</v>
          </cell>
          <cell r="B649" t="str">
            <v>VAR_fin</v>
          </cell>
          <cell r="C649" t="str">
            <v>RHNMELCHPC</v>
          </cell>
          <cell r="H649">
            <v>0.86060888916830869</v>
          </cell>
          <cell r="I649">
            <v>1.0893358284776791</v>
          </cell>
          <cell r="J649">
            <v>1.2545797552158673</v>
          </cell>
        </row>
        <row r="650">
          <cell r="A650" t="str">
            <v>RHNM-SHNGAHP</v>
          </cell>
          <cell r="B650" t="str">
            <v>VAR_ncap</v>
          </cell>
          <cell r="C650" t="str">
            <v>-</v>
          </cell>
          <cell r="H650">
            <v>2.0895104118791499E-2</v>
          </cell>
          <cell r="I650">
            <v>4.28631882098581E-2</v>
          </cell>
          <cell r="J650">
            <v>5.7741277107430697E-2</v>
          </cell>
        </row>
        <row r="651">
          <cell r="A651" t="str">
            <v>RHNM-SHNGAHP</v>
          </cell>
          <cell r="B651" t="str">
            <v>VAR_cap</v>
          </cell>
          <cell r="C651" t="str">
            <v>-</v>
          </cell>
          <cell r="H651">
            <v>6.6824049537489646E-2</v>
          </cell>
          <cell r="I651">
            <v>8.4591328411002351E-2</v>
          </cell>
          <cell r="J651">
            <v>9.7686928087808184E-2</v>
          </cell>
        </row>
        <row r="652">
          <cell r="A652" t="str">
            <v>D-SCOM_KEV_WOD_ELC_CHP</v>
          </cell>
          <cell r="B652" t="str">
            <v>VAR_fout</v>
          </cell>
          <cell r="C652" t="str">
            <v>ELC5</v>
          </cell>
          <cell r="H652">
            <v>2.4762456066874987E-4</v>
          </cell>
          <cell r="I652">
            <v>2.8149947106027683E-4</v>
          </cell>
          <cell r="J652">
            <v>1.4004902873240879E-4</v>
          </cell>
        </row>
        <row r="653">
          <cell r="A653" t="str">
            <v>D-SCOM_KEV_WOD_ELC_CHP</v>
          </cell>
          <cell r="B653" t="str">
            <v>VAR_fout</v>
          </cell>
          <cell r="C653" t="str">
            <v>SCOM_ELC</v>
          </cell>
          <cell r="H653">
            <v>3.3485880029642255E-4</v>
          </cell>
          <cell r="I653">
            <v>4.7127565146580226E-4</v>
          </cell>
          <cell r="J653">
            <v>2.0763062992901822E-4</v>
          </cell>
        </row>
        <row r="654">
          <cell r="A654" t="str">
            <v>D-SCOM_KEV_WOD_ELC_CHP</v>
          </cell>
          <cell r="B654" t="str">
            <v>VAR_fin</v>
          </cell>
          <cell r="C654" t="str">
            <v>SCOM_KEV_WOD_ELC_CHP</v>
          </cell>
          <cell r="H654">
            <v>5.7568779309339767E-4</v>
          </cell>
          <cell r="I654">
            <v>7.4671543463277574E-4</v>
          </cell>
          <cell r="J654">
            <v>3.4285048923564398E-4</v>
          </cell>
        </row>
        <row r="655">
          <cell r="A655" t="str">
            <v>RHES-SHCONBR5</v>
          </cell>
          <cell r="B655" t="str">
            <v>VAR_fout</v>
          </cell>
          <cell r="C655" t="str">
            <v>RHES-SHCON</v>
          </cell>
          <cell r="H655">
            <v>4.0046159983982518E-4</v>
          </cell>
          <cell r="I655">
            <v>3.8457779989804427E-4</v>
          </cell>
          <cell r="J655">
            <v>2.443825315756918E-4</v>
          </cell>
        </row>
        <row r="656">
          <cell r="A656" t="str">
            <v>RHES-SHCONBR5</v>
          </cell>
          <cell r="B656" t="str">
            <v>VAR_fin</v>
          </cell>
          <cell r="C656" t="str">
            <v>CON</v>
          </cell>
          <cell r="H656">
            <v>4.0046159983982518E-4</v>
          </cell>
          <cell r="I656">
            <v>3.8457779989804427E-4</v>
          </cell>
          <cell r="J656">
            <v>2.443825315756918E-4</v>
          </cell>
        </row>
        <row r="657">
          <cell r="A657" t="str">
            <v>RHES-SHCONBR5</v>
          </cell>
          <cell r="B657" t="str">
            <v>VAR_ncap</v>
          </cell>
          <cell r="C657" t="str">
            <v>-</v>
          </cell>
          <cell r="H657">
            <v>1.76291135076833E-8</v>
          </cell>
          <cell r="I657">
            <v>2.38050897707826E-8</v>
          </cell>
          <cell r="J657">
            <v>6.0060039877433098E-8</v>
          </cell>
        </row>
        <row r="658">
          <cell r="A658" t="str">
            <v>RHES-SHCONBR5</v>
          </cell>
          <cell r="B658" t="str">
            <v>VAR_cap</v>
          </cell>
          <cell r="C658" t="str">
            <v>-</v>
          </cell>
          <cell r="H658">
            <v>3.2905269621137683E-5</v>
          </cell>
          <cell r="I658">
            <v>3.2900831713425575E-5</v>
          </cell>
          <cell r="J658">
            <v>1.9153305906856176E-5</v>
          </cell>
        </row>
        <row r="659">
          <cell r="A659" t="str">
            <v>RHNS-SHCONBR</v>
          </cell>
          <cell r="B659" t="str">
            <v>VAR_fout</v>
          </cell>
          <cell r="C659" t="str">
            <v>RHNS-SHCON</v>
          </cell>
          <cell r="H659">
            <v>8.5904808364174387E-4</v>
          </cell>
          <cell r="I659">
            <v>1.6940361664205582E-3</v>
          </cell>
          <cell r="J659">
            <v>1.6781132936871553E-3</v>
          </cell>
        </row>
        <row r="660">
          <cell r="A660" t="str">
            <v>RHNS-SHCONBR</v>
          </cell>
          <cell r="B660" t="str">
            <v>VAR_fin</v>
          </cell>
          <cell r="C660" t="str">
            <v>CON</v>
          </cell>
          <cell r="H660">
            <v>8.5904808364174387E-4</v>
          </cell>
          <cell r="I660">
            <v>1.6940361664205582E-3</v>
          </cell>
          <cell r="J660">
            <v>1.6781132936871553E-3</v>
          </cell>
        </row>
        <row r="661">
          <cell r="A661" t="str">
            <v>RHNS-SHCONBR</v>
          </cell>
          <cell r="B661" t="str">
            <v>VAR_ncap</v>
          </cell>
          <cell r="C661" t="str">
            <v>-</v>
          </cell>
          <cell r="H661">
            <v>5.3501576127038897E-8</v>
          </cell>
          <cell r="I661">
            <v>6.1204578421256698E-5</v>
          </cell>
          <cell r="J661">
            <v>3.69664157394725E-8</v>
          </cell>
        </row>
        <row r="662">
          <cell r="A662" t="str">
            <v>RHNS-SHCONBR</v>
          </cell>
          <cell r="B662" t="str">
            <v>VAR_cap</v>
          </cell>
          <cell r="C662" t="str">
            <v>-</v>
          </cell>
          <cell r="H662">
            <v>6.0093346719306974E-5</v>
          </cell>
          <cell r="I662">
            <v>1.21338510880553E-4</v>
          </cell>
          <cell r="J662">
            <v>1.2137547729629301E-4</v>
          </cell>
        </row>
        <row r="663">
          <cell r="A663" t="str">
            <v>D-RHEM_SOLELC</v>
          </cell>
          <cell r="B663" t="str">
            <v>VAR_fout</v>
          </cell>
          <cell r="C663" t="str">
            <v>ELC5</v>
          </cell>
          <cell r="H663">
            <v>6.9265684897750401E-4</v>
          </cell>
          <cell r="I663">
            <v>5.3486765856358654E-4</v>
          </cell>
          <cell r="J663">
            <v>9.9288954221158883E-4</v>
          </cell>
        </row>
        <row r="664">
          <cell r="A664" t="str">
            <v>D-RHEM_SOLELC</v>
          </cell>
          <cell r="B664" t="str">
            <v>VAR_fout</v>
          </cell>
          <cell r="C664" t="str">
            <v>RHEM_ELC</v>
          </cell>
          <cell r="H664">
            <v>1.717866256455421</v>
          </cell>
          <cell r="I664">
            <v>1.8058339975823772</v>
          </cell>
          <cell r="J664">
            <v>1.9929095970134576</v>
          </cell>
        </row>
        <row r="665">
          <cell r="A665" t="str">
            <v>D-RHEM_SOLELC</v>
          </cell>
          <cell r="B665" t="str">
            <v>VAR_fin</v>
          </cell>
          <cell r="C665" t="str">
            <v>RHEM_SOL_ELC</v>
          </cell>
          <cell r="H665">
            <v>1.7185589133043984</v>
          </cell>
          <cell r="I665">
            <v>1.8063688652409415</v>
          </cell>
          <cell r="J665">
            <v>1.9939024865556692</v>
          </cell>
        </row>
        <row r="666">
          <cell r="A666" t="str">
            <v>ITOT-SWHCONBR7</v>
          </cell>
          <cell r="B666" t="str">
            <v>VAR_fout</v>
          </cell>
          <cell r="C666" t="str">
            <v>ITOT-ELS</v>
          </cell>
          <cell r="J666">
            <v>8.6011165358442502E-5</v>
          </cell>
        </row>
        <row r="667">
          <cell r="A667" t="str">
            <v>ITOT-SWHCONBR7</v>
          </cell>
          <cell r="B667" t="str">
            <v>VAR_fout</v>
          </cell>
          <cell r="C667" t="str">
            <v>ITOT-SWHC</v>
          </cell>
          <cell r="J667">
            <v>1.4961509739517629E-5</v>
          </cell>
        </row>
        <row r="668">
          <cell r="A668" t="str">
            <v>ITOT-SWHCONBR7</v>
          </cell>
          <cell r="B668" t="str">
            <v>VAR_fin</v>
          </cell>
          <cell r="C668" t="str">
            <v>CON</v>
          </cell>
          <cell r="J668">
            <v>1.0100959034467483E-4</v>
          </cell>
        </row>
        <row r="669">
          <cell r="A669" t="str">
            <v>ITOT-SWHCONBR7</v>
          </cell>
          <cell r="B669" t="str">
            <v>VAR_ncap</v>
          </cell>
          <cell r="C669" t="str">
            <v>-</v>
          </cell>
          <cell r="J669">
            <v>5.2226350325006903E-6</v>
          </cell>
        </row>
        <row r="670">
          <cell r="A670" t="str">
            <v>ITOT-SWHCONBR7</v>
          </cell>
          <cell r="B670" t="str">
            <v>VAR_cap</v>
          </cell>
          <cell r="C670" t="str">
            <v>-</v>
          </cell>
          <cell r="J670">
            <v>5.2226350325006903E-6</v>
          </cell>
        </row>
        <row r="671">
          <cell r="A671" t="str">
            <v>RHNS-SHSTG-ELCHP</v>
          </cell>
          <cell r="B671" t="str">
            <v>VAR_fout</v>
          </cell>
          <cell r="C671" t="str">
            <v>RHNS-SHAELCH</v>
          </cell>
          <cell r="H671">
            <v>0.24423871502008526</v>
          </cell>
          <cell r="I671">
            <v>0.32200259448684593</v>
          </cell>
          <cell r="J671">
            <v>0.37976938473966793</v>
          </cell>
        </row>
        <row r="672">
          <cell r="A672" t="str">
            <v>RHNS-SHSTG-ELCHP</v>
          </cell>
          <cell r="B672" t="str">
            <v>VAR_fout</v>
          </cell>
          <cell r="C672" t="str">
            <v>AUX_RHNS-SHSTG-ELCHP_OUT</v>
          </cell>
          <cell r="H672">
            <v>0.24448295373510515</v>
          </cell>
          <cell r="I672">
            <v>0.32232459708133276</v>
          </cell>
          <cell r="J672">
            <v>0.38014915412440786</v>
          </cell>
        </row>
        <row r="673">
          <cell r="A673" t="str">
            <v>RHNS-SHSTG-ELCHP</v>
          </cell>
          <cell r="B673" t="str">
            <v>VAR_fin</v>
          </cell>
          <cell r="C673" t="str">
            <v>RHNS-SHAELCH</v>
          </cell>
          <cell r="H673">
            <v>0.24424014798279589</v>
          </cell>
          <cell r="I673">
            <v>0.32200564896961237</v>
          </cell>
          <cell r="J673">
            <v>0.37977259622343484</v>
          </cell>
        </row>
        <row r="674">
          <cell r="A674" t="str">
            <v>RHNS-SHSTG-ELCHP</v>
          </cell>
          <cell r="B674" t="str">
            <v>VAR_ncap</v>
          </cell>
          <cell r="C674" t="str">
            <v>-</v>
          </cell>
          <cell r="H674">
            <v>6.8960889450989599E-3</v>
          </cell>
          <cell r="I674">
            <v>2.0234909495351099E-2</v>
          </cell>
          <cell r="J674">
            <v>2.6535386856658901E-2</v>
          </cell>
        </row>
        <row r="675">
          <cell r="A675" t="str">
            <v>RHNS-SHSTG-ELCHP</v>
          </cell>
          <cell r="B675" t="str">
            <v>VAR_cap</v>
          </cell>
          <cell r="C675" t="str">
            <v>-</v>
          </cell>
          <cell r="H675">
            <v>3.0495883491711184E-2</v>
          </cell>
          <cell r="I675">
            <v>3.6042937000887537E-2</v>
          </cell>
          <cell r="J675">
            <v>4.4112712151171053E-2</v>
          </cell>
        </row>
        <row r="676">
          <cell r="A676" t="str">
            <v>RHNS-SHSOLBR</v>
          </cell>
          <cell r="B676" t="str">
            <v>VAR_fout</v>
          </cell>
          <cell r="C676" t="str">
            <v>RHNS-SHASOL</v>
          </cell>
          <cell r="H676">
            <v>5.1959592881249499E-4</v>
          </cell>
          <cell r="I676">
            <v>5.5274880755786405E-4</v>
          </cell>
          <cell r="J676">
            <v>9.7838548621409678E-4</v>
          </cell>
        </row>
        <row r="677">
          <cell r="A677" t="str">
            <v>RHNS-SHSOLBR</v>
          </cell>
          <cell r="B677" t="str">
            <v>VAR_fin</v>
          </cell>
          <cell r="C677" t="str">
            <v>SOL</v>
          </cell>
          <cell r="H677">
            <v>5.1959592881249499E-4</v>
          </cell>
          <cell r="I677">
            <v>5.5274880755786405E-4</v>
          </cell>
          <cell r="J677">
            <v>9.7838548621409678E-4</v>
          </cell>
        </row>
        <row r="678">
          <cell r="A678" t="str">
            <v>RHNS-SHSOLBR</v>
          </cell>
          <cell r="B678" t="str">
            <v>VAR_ncap</v>
          </cell>
          <cell r="C678" t="str">
            <v>-</v>
          </cell>
          <cell r="H678">
            <v>3.1630564260726301E-6</v>
          </cell>
          <cell r="I678">
            <v>1.1554655162005499E-4</v>
          </cell>
          <cell r="J678">
            <v>1.1080973285893301E-4</v>
          </cell>
        </row>
        <row r="679">
          <cell r="A679" t="str">
            <v>RHNS-SHSOLBR</v>
          </cell>
          <cell r="B679" t="str">
            <v>VAR_cap</v>
          </cell>
          <cell r="C679" t="str">
            <v>-</v>
          </cell>
          <cell r="H679">
            <v>4.3661950006229991E-4</v>
          </cell>
          <cell r="I679">
            <v>1.2373415146697743E-4</v>
          </cell>
          <cell r="J679">
            <v>1.9587469191177707E-4</v>
          </cell>
        </row>
        <row r="680">
          <cell r="A680" t="str">
            <v>RHES-SHPLTBR</v>
          </cell>
          <cell r="B680" t="str">
            <v>VAR_fout</v>
          </cell>
          <cell r="C680" t="str">
            <v>RHES-SHPLT</v>
          </cell>
          <cell r="H680">
            <v>7.9246804099769141E-2</v>
          </cell>
          <cell r="I680">
            <v>8.4402400073556497E-2</v>
          </cell>
          <cell r="J680">
            <v>7.3267632764005788E-2</v>
          </cell>
        </row>
        <row r="681">
          <cell r="A681" t="str">
            <v>RHES-SHPLTBR</v>
          </cell>
          <cell r="B681" t="str">
            <v>VAR_fin</v>
          </cell>
          <cell r="C681" t="str">
            <v>RPLT</v>
          </cell>
          <cell r="H681">
            <v>0.1064366087904411</v>
          </cell>
          <cell r="I681">
            <v>0.1129243222134441</v>
          </cell>
          <cell r="J681">
            <v>9.6569167308963033E-2</v>
          </cell>
        </row>
        <row r="682">
          <cell r="A682" t="str">
            <v>RHES-SHPLTBR</v>
          </cell>
          <cell r="B682" t="str">
            <v>VAR_ncap</v>
          </cell>
          <cell r="C682" t="str">
            <v>-</v>
          </cell>
          <cell r="H682">
            <v>1.3499494251665101E-3</v>
          </cell>
          <cell r="I682">
            <v>5.47858165391704E-3</v>
          </cell>
          <cell r="J682">
            <v>1.38130791722198E-3</v>
          </cell>
        </row>
        <row r="683">
          <cell r="A683" t="str">
            <v>RHES-SHPLTBR</v>
          </cell>
          <cell r="B683" t="str">
            <v>VAR_cap</v>
          </cell>
          <cell r="C683" t="str">
            <v>-</v>
          </cell>
          <cell r="H683">
            <v>6.4157005818276415E-3</v>
          </cell>
          <cell r="I683">
            <v>6.8286044111014474E-3</v>
          </cell>
          <cell r="J683">
            <v>5.928246672042576E-3</v>
          </cell>
        </row>
        <row r="684">
          <cell r="A684" t="str">
            <v>RHES-SHCONBR6</v>
          </cell>
          <cell r="B684" t="str">
            <v>VAR_fout</v>
          </cell>
          <cell r="C684" t="str">
            <v>RHES-SHCON</v>
          </cell>
          <cell r="H684">
            <v>1.2051066569370536E-4</v>
          </cell>
          <cell r="I684">
            <v>1.0868380356726758E-4</v>
          </cell>
          <cell r="J684">
            <v>7.5520121182668496E-5</v>
          </cell>
        </row>
        <row r="685">
          <cell r="A685" t="str">
            <v>RHES-SHCONBR6</v>
          </cell>
          <cell r="B685" t="str">
            <v>VAR_fin</v>
          </cell>
          <cell r="C685" t="str">
            <v>CON</v>
          </cell>
          <cell r="H685">
            <v>1.2051066569370536E-4</v>
          </cell>
          <cell r="I685">
            <v>1.0868380356726758E-4</v>
          </cell>
          <cell r="J685">
            <v>7.5520121182668496E-5</v>
          </cell>
        </row>
        <row r="686">
          <cell r="A686" t="str">
            <v>RHES-SHCONBR6</v>
          </cell>
          <cell r="B686" t="str">
            <v>VAR_ncap</v>
          </cell>
          <cell r="C686" t="str">
            <v>-</v>
          </cell>
          <cell r="H686">
            <v>1.4272498164057899E-8</v>
          </cell>
          <cell r="I686">
            <v>1.86225242580125E-8</v>
          </cell>
          <cell r="J686">
            <v>3.61364462784761E-8</v>
          </cell>
        </row>
        <row r="687">
          <cell r="A687" t="str">
            <v>RHES-SHCONBR6</v>
          </cell>
          <cell r="B687" t="str">
            <v>VAR_cap</v>
          </cell>
          <cell r="C687" t="str">
            <v>-</v>
          </cell>
          <cell r="H687">
            <v>8.3512261324364355E-6</v>
          </cell>
          <cell r="I687">
            <v>8.3539355155729906E-6</v>
          </cell>
          <cell r="J687">
            <v>4.9269325077069274E-6</v>
          </cell>
        </row>
        <row r="688">
          <cell r="A688" t="str">
            <v>RHSA-WHPLTBR</v>
          </cell>
          <cell r="B688" t="str">
            <v>VAR_fout</v>
          </cell>
          <cell r="C688" t="str">
            <v>RHSA-WHPLT</v>
          </cell>
          <cell r="H688">
            <v>0.18016722920789435</v>
          </cell>
          <cell r="I688">
            <v>0.20426557698364536</v>
          </cell>
          <cell r="J688">
            <v>0.19943967926913875</v>
          </cell>
        </row>
        <row r="689">
          <cell r="A689" t="str">
            <v>RHSA-WHPLTBR</v>
          </cell>
          <cell r="B689" t="str">
            <v>VAR_fin</v>
          </cell>
          <cell r="C689" t="str">
            <v>RPLT</v>
          </cell>
          <cell r="H689">
            <v>0.38088874800041961</v>
          </cell>
          <cell r="I689">
            <v>0.42459563235938436</v>
          </cell>
          <cell r="J689">
            <v>0.40183582117430827</v>
          </cell>
        </row>
        <row r="690">
          <cell r="A690" t="str">
            <v>RHSA-WHPLTBR</v>
          </cell>
          <cell r="B690" t="str">
            <v>VAR_ncap</v>
          </cell>
          <cell r="C690" t="str">
            <v>-</v>
          </cell>
          <cell r="H690">
            <v>8.4089704717411496E-3</v>
          </cell>
          <cell r="I690">
            <v>5.5597678846917896E-3</v>
          </cell>
          <cell r="J690">
            <v>6.0439965670363799E-3</v>
          </cell>
        </row>
        <row r="691">
          <cell r="A691" t="str">
            <v>RHSA-WHPLTBR</v>
          </cell>
          <cell r="B691" t="str">
            <v>VAR_cap</v>
          </cell>
          <cell r="C691" t="str">
            <v>-</v>
          </cell>
          <cell r="H691">
            <v>1.2323871581303322E-2</v>
          </cell>
          <cell r="I691">
            <v>1.3969031661294038E-2</v>
          </cell>
          <cell r="J691">
            <v>1.3635733001874092E-2</v>
          </cell>
        </row>
        <row r="692">
          <cell r="A692" t="str">
            <v>ITOT-SWHCONBR8</v>
          </cell>
          <cell r="B692" t="str">
            <v>VAR_fout</v>
          </cell>
          <cell r="C692" t="str">
            <v>ITOT-ELS</v>
          </cell>
          <cell r="J692">
            <v>1.7064501398252244E-5</v>
          </cell>
        </row>
        <row r="693">
          <cell r="A693" t="str">
            <v>ITOT-SWHCONBR8</v>
          </cell>
          <cell r="B693" t="str">
            <v>VAR_fout</v>
          </cell>
          <cell r="C693" t="str">
            <v>ITOT-SWHC</v>
          </cell>
          <cell r="J693">
            <v>6.5886393707513557E-5</v>
          </cell>
        </row>
        <row r="694">
          <cell r="A694" t="str">
            <v>ITOT-SWHCONBR8</v>
          </cell>
          <cell r="B694" t="str">
            <v>VAR_fin</v>
          </cell>
          <cell r="C694" t="str">
            <v>CON</v>
          </cell>
          <cell r="J694">
            <v>8.2950895105765791E-5</v>
          </cell>
        </row>
        <row r="695">
          <cell r="A695" t="str">
            <v>ITOT-SWHCONBR8</v>
          </cell>
          <cell r="B695" t="str">
            <v>VAR_ncap</v>
          </cell>
          <cell r="C695" t="str">
            <v>-</v>
          </cell>
          <cell r="J695">
            <v>3.7312319250878302E-6</v>
          </cell>
        </row>
        <row r="696">
          <cell r="A696" t="str">
            <v>ITOT-SWHCONBR8</v>
          </cell>
          <cell r="B696" t="str">
            <v>VAR_cap</v>
          </cell>
          <cell r="C696" t="str">
            <v>-</v>
          </cell>
          <cell r="J696">
            <v>3.7312319250878302E-6</v>
          </cell>
        </row>
        <row r="697">
          <cell r="A697" t="str">
            <v>D-SCOM_KEV_HFC_ELC_CHP</v>
          </cell>
          <cell r="B697" t="str">
            <v>VAR_fout</v>
          </cell>
          <cell r="C697" t="str">
            <v>ELC5</v>
          </cell>
          <cell r="H697">
            <v>3.6103232181066553E-4</v>
          </cell>
          <cell r="I697">
            <v>5.7338822936549522E-4</v>
          </cell>
          <cell r="J697">
            <v>3.6130560946583492E-4</v>
          </cell>
        </row>
        <row r="698">
          <cell r="A698" t="str">
            <v>D-SCOM_KEV_HFC_ELC_CHP</v>
          </cell>
          <cell r="B698" t="str">
            <v>VAR_fout</v>
          </cell>
          <cell r="C698" t="str">
            <v>SCOM_ELC</v>
          </cell>
          <cell r="H698">
            <v>6.0132216204200801E-4</v>
          </cell>
          <cell r="I698">
            <v>2.5787739372050037E-2</v>
          </cell>
          <cell r="J698">
            <v>1.6181277582457586E-2</v>
          </cell>
        </row>
        <row r="699">
          <cell r="A699" t="str">
            <v>D-SCOM_KEV_HFC_ELC_CHP</v>
          </cell>
          <cell r="B699" t="str">
            <v>VAR_fin</v>
          </cell>
          <cell r="C699" t="str">
            <v>SCOM_KEV_HFC_ELC_CHP</v>
          </cell>
          <cell r="H699">
            <v>9.5548782421776574E-4</v>
          </cell>
          <cell r="I699">
            <v>2.6359051309088485E-2</v>
          </cell>
          <cell r="J699">
            <v>1.6537553864413596E-2</v>
          </cell>
        </row>
        <row r="700">
          <cell r="A700" t="str">
            <v>D-EH2R</v>
          </cell>
          <cell r="B700" t="str">
            <v>VAR_fout</v>
          </cell>
          <cell r="C700" t="str">
            <v>EH2</v>
          </cell>
          <cell r="I700">
            <v>4.519075752410351E-3</v>
          </cell>
          <cell r="J700">
            <v>5.5689205734028224E-3</v>
          </cell>
        </row>
        <row r="701">
          <cell r="A701" t="str">
            <v>D-EH2R</v>
          </cell>
          <cell r="B701" t="str">
            <v>VAR_fin</v>
          </cell>
          <cell r="C701" t="str">
            <v>H2</v>
          </cell>
          <cell r="I701">
            <v>4.519075752410351E-3</v>
          </cell>
          <cell r="J701">
            <v>5.5689205734028224E-3</v>
          </cell>
        </row>
        <row r="702">
          <cell r="A702" t="str">
            <v>D-EH2R</v>
          </cell>
          <cell r="B702" t="str">
            <v>VAR_ncap</v>
          </cell>
          <cell r="C702" t="str">
            <v>-</v>
          </cell>
          <cell r="H702">
            <v>7.2032292181080295E-7</v>
          </cell>
          <cell r="I702">
            <v>5.2624082744133895E-4</v>
          </cell>
          <cell r="J702">
            <v>1.01875412787072E-4</v>
          </cell>
        </row>
        <row r="703">
          <cell r="A703" t="str">
            <v>D-EH2R</v>
          </cell>
          <cell r="B703" t="str">
            <v>VAR_cap</v>
          </cell>
          <cell r="C703" t="str">
            <v>-</v>
          </cell>
          <cell r="H703">
            <v>7.2032292181080295E-7</v>
          </cell>
          <cell r="I703">
            <v>5.2636841242261899E-4</v>
          </cell>
          <cell r="J703">
            <v>2.8212407709005398E-4</v>
          </cell>
        </row>
        <row r="704">
          <cell r="A704" t="str">
            <v>SCOM-ELCSPECADV</v>
          </cell>
          <cell r="B704" t="str">
            <v>VAR_fout</v>
          </cell>
          <cell r="C704" t="str">
            <v>SCOM-ELS</v>
          </cell>
          <cell r="H704">
            <v>8.9934174681097527</v>
          </cell>
          <cell r="I704">
            <v>10.968075795270114</v>
          </cell>
          <cell r="J704">
            <v>13.036571476672002</v>
          </cell>
        </row>
        <row r="705">
          <cell r="A705" t="str">
            <v>SCOM-ELCSPECADV</v>
          </cell>
          <cell r="B705" t="str">
            <v>VAR_fin</v>
          </cell>
          <cell r="C705" t="str">
            <v>SCOM_ELC</v>
          </cell>
          <cell r="H705">
            <v>5.9956116454064965</v>
          </cell>
          <cell r="I705">
            <v>7.3120505301800689</v>
          </cell>
          <cell r="J705">
            <v>8.6910476511146602</v>
          </cell>
        </row>
        <row r="706">
          <cell r="A706" t="str">
            <v>SCOM-ELCSPECADV</v>
          </cell>
          <cell r="B706" t="str">
            <v>VAR_ncap</v>
          </cell>
          <cell r="C706" t="str">
            <v>-</v>
          </cell>
          <cell r="H706">
            <v>0.228854650522921</v>
          </cell>
          <cell r="I706">
            <v>0.20872012340839</v>
          </cell>
          <cell r="J706">
            <v>0.46920729558110102</v>
          </cell>
        </row>
        <row r="707">
          <cell r="A707" t="str">
            <v>SCOM-ELCSPECADV</v>
          </cell>
          <cell r="B707" t="str">
            <v>VAR_cap</v>
          </cell>
          <cell r="C707" t="str">
            <v>-</v>
          </cell>
          <cell r="H707">
            <v>0.95059796081596648</v>
          </cell>
          <cell r="I707">
            <v>1.159317958457925</v>
          </cell>
          <cell r="J707">
            <v>1.37795644656168</v>
          </cell>
        </row>
        <row r="708">
          <cell r="A708" t="str">
            <v>RHSA-WHLTHRD</v>
          </cell>
          <cell r="B708" t="str">
            <v>VAR_fout</v>
          </cell>
          <cell r="C708" t="str">
            <v>RHSA-WHLTHRD</v>
          </cell>
          <cell r="H708">
            <v>1.5122449739183121</v>
          </cell>
          <cell r="I708">
            <v>1.6791697911646242</v>
          </cell>
          <cell r="J708">
            <v>1.7662128227619318</v>
          </cell>
        </row>
        <row r="709">
          <cell r="A709" t="str">
            <v>RHSA-WHLTHRD</v>
          </cell>
          <cell r="B709" t="str">
            <v>VAR_fin</v>
          </cell>
          <cell r="C709" t="str">
            <v>RHSA_LTH</v>
          </cell>
          <cell r="H709">
            <v>2.6743775612290612</v>
          </cell>
          <cell r="I709">
            <v>2.9312023677530794</v>
          </cell>
          <cell r="J709">
            <v>3.0115141540434083</v>
          </cell>
        </row>
        <row r="710">
          <cell r="A710" t="str">
            <v>RHSA-WHLTHRD</v>
          </cell>
          <cell r="B710" t="str">
            <v>VAR_ncap</v>
          </cell>
          <cell r="C710" t="str">
            <v>-</v>
          </cell>
          <cell r="H710">
            <v>5.0573632735840701E-2</v>
          </cell>
          <cell r="I710">
            <v>7.5888541601655396E-2</v>
          </cell>
          <cell r="J710">
            <v>3.9939031106239302E-2</v>
          </cell>
        </row>
        <row r="711">
          <cell r="A711" t="str">
            <v>RHSA-WHLTHRD</v>
          </cell>
          <cell r="B711" t="str">
            <v>VAR_cap</v>
          </cell>
          <cell r="C711" t="str">
            <v>-</v>
          </cell>
          <cell r="H711">
            <v>0.13506753245474898</v>
          </cell>
          <cell r="I711">
            <v>0.18497772786118497</v>
          </cell>
          <cell r="J711">
            <v>0.189576967927195</v>
          </cell>
        </row>
        <row r="712">
          <cell r="A712" t="str">
            <v>RHES-SHCONBR7</v>
          </cell>
          <cell r="B712" t="str">
            <v>VAR_fout</v>
          </cell>
          <cell r="C712" t="str">
            <v>RHES-SHCON</v>
          </cell>
          <cell r="H712">
            <v>1.1481096343240057E-4</v>
          </cell>
          <cell r="I712">
            <v>1.0312311667034679E-4</v>
          </cell>
          <cell r="J712">
            <v>7.1923490419050865E-5</v>
          </cell>
        </row>
        <row r="713">
          <cell r="A713" t="str">
            <v>RHES-SHCONBR7</v>
          </cell>
          <cell r="B713" t="str">
            <v>VAR_fin</v>
          </cell>
          <cell r="C713" t="str">
            <v>CON</v>
          </cell>
          <cell r="H713">
            <v>1.1481096343240057E-4</v>
          </cell>
          <cell r="I713">
            <v>1.0312311667034679E-4</v>
          </cell>
          <cell r="J713">
            <v>7.1923490419050865E-5</v>
          </cell>
        </row>
        <row r="714">
          <cell r="A714" t="str">
            <v>RHES-SHCONBR7</v>
          </cell>
          <cell r="B714" t="str">
            <v>VAR_ncap</v>
          </cell>
          <cell r="C714" t="str">
            <v>-</v>
          </cell>
          <cell r="H714">
            <v>1.40968735875359E-8</v>
          </cell>
          <cell r="I714">
            <v>1.8346308758943701E-8</v>
          </cell>
          <cell r="J714">
            <v>3.5965946034094402E-8</v>
          </cell>
        </row>
        <row r="715">
          <cell r="A715" t="str">
            <v>RHES-SHCONBR7</v>
          </cell>
          <cell r="B715" t="str">
            <v>VAR_cap</v>
          </cell>
          <cell r="C715" t="str">
            <v>-</v>
          </cell>
          <cell r="H715">
            <v>7.8148747391370324E-6</v>
          </cell>
          <cell r="I715">
            <v>7.8178060377706642E-6</v>
          </cell>
          <cell r="J715">
            <v>4.6159185398103587E-6</v>
          </cell>
        </row>
        <row r="716">
          <cell r="A716" t="str">
            <v>ITOT-SWHCONBR9</v>
          </cell>
          <cell r="B716" t="str">
            <v>VAR_fout</v>
          </cell>
          <cell r="C716" t="str">
            <v>ITOT-ELS</v>
          </cell>
          <cell r="J716">
            <v>9.9595492574746997E-6</v>
          </cell>
        </row>
        <row r="717">
          <cell r="A717" t="str">
            <v>ITOT-SWHCONBR9</v>
          </cell>
          <cell r="B717" t="str">
            <v>VAR_fout</v>
          </cell>
          <cell r="C717" t="str">
            <v>ITOT-SWHC</v>
          </cell>
          <cell r="J717">
            <v>5.8281807188679781E-5</v>
          </cell>
        </row>
        <row r="718">
          <cell r="A718" t="str">
            <v>ITOT-SWHCONBR9</v>
          </cell>
          <cell r="B718" t="str">
            <v>VAR_fin</v>
          </cell>
          <cell r="C718" t="str">
            <v>CON</v>
          </cell>
          <cell r="J718">
            <v>6.8323479665812064E-5</v>
          </cell>
        </row>
        <row r="719">
          <cell r="A719" t="str">
            <v>ITOT-SWHCONBR9</v>
          </cell>
          <cell r="B719" t="str">
            <v>VAR_ncap</v>
          </cell>
          <cell r="C719" t="str">
            <v>-</v>
          </cell>
          <cell r="J719">
            <v>2.9332160912211401E-6</v>
          </cell>
        </row>
        <row r="720">
          <cell r="A720" t="str">
            <v>ITOT-SWHCONBR9</v>
          </cell>
          <cell r="B720" t="str">
            <v>VAR_cap</v>
          </cell>
          <cell r="C720" t="str">
            <v>-</v>
          </cell>
          <cell r="J720">
            <v>2.9332160912211401E-6</v>
          </cell>
        </row>
        <row r="721">
          <cell r="A721" t="str">
            <v>SCOM-SHPLTBR</v>
          </cell>
          <cell r="B721" t="str">
            <v>VAR_fout</v>
          </cell>
          <cell r="C721" t="str">
            <v>SCOM-SHPLT</v>
          </cell>
          <cell r="H721">
            <v>0.90288671767887707</v>
          </cell>
          <cell r="I721">
            <v>0.97688154776075631</v>
          </cell>
          <cell r="J721">
            <v>0.81875528926354624</v>
          </cell>
        </row>
        <row r="722">
          <cell r="A722" t="str">
            <v>SCOM-SHPLTBR</v>
          </cell>
          <cell r="B722" t="str">
            <v>VAR_fin</v>
          </cell>
          <cell r="C722" t="str">
            <v>SCOMPLTBRC</v>
          </cell>
          <cell r="H722">
            <v>0.90288671767887707</v>
          </cell>
          <cell r="I722">
            <v>0.97688154776075631</v>
          </cell>
          <cell r="J722">
            <v>0.81875528926354624</v>
          </cell>
        </row>
        <row r="723">
          <cell r="A723" t="str">
            <v>SCOM-SHPLTBR</v>
          </cell>
          <cell r="B723" t="str">
            <v>VAR_fin</v>
          </cell>
          <cell r="C723" t="str">
            <v>SPLT</v>
          </cell>
          <cell r="H723">
            <v>1.3468856109455358</v>
          </cell>
          <cell r="I723">
            <v>1.4543391200191005</v>
          </cell>
          <cell r="J723">
            <v>1.2189275656071166</v>
          </cell>
        </row>
        <row r="724">
          <cell r="A724" t="str">
            <v>SCOM-SHPLTBR</v>
          </cell>
          <cell r="B724" t="str">
            <v>VAR_ncap</v>
          </cell>
          <cell r="C724" t="str">
            <v>-</v>
          </cell>
          <cell r="H724">
            <v>3.8392472375297401E-2</v>
          </cell>
          <cell r="I724">
            <v>3.8311182608665902E-2</v>
          </cell>
          <cell r="J724">
            <v>2.09619282912266E-2</v>
          </cell>
        </row>
        <row r="725">
          <cell r="A725" t="str">
            <v>SCOM-SHPLTBR</v>
          </cell>
          <cell r="B725" t="str">
            <v>VAR_cap</v>
          </cell>
          <cell r="C725" t="str">
            <v>-</v>
          </cell>
          <cell r="H725">
            <v>7.0857630256657186E-2</v>
          </cell>
          <cell r="I725">
            <v>7.6704056541463825E-2</v>
          </cell>
          <cell r="J725">
            <v>6.5005150633844586E-2</v>
          </cell>
        </row>
        <row r="726">
          <cell r="A726" t="str">
            <v>ITOT-SWHELCHP</v>
          </cell>
          <cell r="B726" t="str">
            <v>VAR_fout</v>
          </cell>
          <cell r="C726" t="str">
            <v>ITOT-SWHAELCH</v>
          </cell>
          <cell r="H726">
            <v>8.3760406496699975</v>
          </cell>
          <cell r="I726">
            <v>8.3764175358470663</v>
          </cell>
          <cell r="J726">
            <v>8.3764214286343144</v>
          </cell>
        </row>
        <row r="727">
          <cell r="A727" t="str">
            <v>ITOT-SWHELCHP</v>
          </cell>
          <cell r="B727" t="str">
            <v>VAR_fin</v>
          </cell>
          <cell r="C727" t="str">
            <v>ITOT_ELC</v>
          </cell>
          <cell r="H727">
            <v>2.5652773268901514</v>
          </cell>
          <cell r="I727">
            <v>2.5180471193196978</v>
          </cell>
          <cell r="J727">
            <v>2.4284130809728781</v>
          </cell>
        </row>
        <row r="728">
          <cell r="A728" t="str">
            <v>ITOT-SWHELCHP</v>
          </cell>
          <cell r="B728" t="str">
            <v>VAR_fin</v>
          </cell>
          <cell r="C728" t="str">
            <v>ITOTELCHPC</v>
          </cell>
          <cell r="H728">
            <v>8.3760406496699975</v>
          </cell>
          <cell r="I728">
            <v>8.3764175358470663</v>
          </cell>
          <cell r="J728">
            <v>8.3764214286343144</v>
          </cell>
        </row>
        <row r="729">
          <cell r="A729" t="str">
            <v>ITOT-SWHELCHP</v>
          </cell>
          <cell r="B729" t="str">
            <v>VAR_ncap</v>
          </cell>
          <cell r="C729" t="str">
            <v>-</v>
          </cell>
          <cell r="H729">
            <v>0.17659747469492401</v>
          </cell>
          <cell r="I729">
            <v>0.119590840259891</v>
          </cell>
          <cell r="J729">
            <v>0.29629137459987298</v>
          </cell>
        </row>
        <row r="730">
          <cell r="A730" t="str">
            <v>ITOT-SWHELCHP</v>
          </cell>
          <cell r="B730" t="str">
            <v>VAR_cap</v>
          </cell>
          <cell r="C730" t="str">
            <v>-</v>
          </cell>
          <cell r="H730">
            <v>0.45561846996307542</v>
          </cell>
          <cell r="I730">
            <v>0.46792996841082746</v>
          </cell>
          <cell r="J730">
            <v>0.45778147327576357</v>
          </cell>
        </row>
        <row r="731">
          <cell r="A731" t="str">
            <v>RHES-SHCONBR8</v>
          </cell>
          <cell r="B731" t="str">
            <v>VAR_fout</v>
          </cell>
          <cell r="C731" t="str">
            <v>RHES-SHCON</v>
          </cell>
          <cell r="H731">
            <v>3.3983920226418947E-5</v>
          </cell>
          <cell r="I731">
            <v>2.5226942934852248E-5</v>
          </cell>
          <cell r="J731">
            <v>1.7837778406027473E-5</v>
          </cell>
        </row>
        <row r="732">
          <cell r="A732" t="str">
            <v>RHES-SHCONBR8</v>
          </cell>
          <cell r="B732" t="str">
            <v>VAR_fin</v>
          </cell>
          <cell r="C732" t="str">
            <v>CON</v>
          </cell>
          <cell r="H732">
            <v>3.3983920226418947E-5</v>
          </cell>
          <cell r="I732">
            <v>2.5226942934852248E-5</v>
          </cell>
          <cell r="J732">
            <v>1.7837778406027473E-5</v>
          </cell>
        </row>
        <row r="733">
          <cell r="A733" t="str">
            <v>RHES-SHCONBR8</v>
          </cell>
          <cell r="B733" t="str">
            <v>VAR_ncap</v>
          </cell>
          <cell r="C733" t="str">
            <v>-</v>
          </cell>
          <cell r="I733">
            <v>1.03605357690622E-8</v>
          </cell>
          <cell r="J733">
            <v>1.7185610972441701E-8</v>
          </cell>
        </row>
        <row r="734">
          <cell r="A734" t="str">
            <v>RHES-SHCONBR8</v>
          </cell>
          <cell r="B734" t="str">
            <v>VAR_cap</v>
          </cell>
          <cell r="C734" t="str">
            <v>-</v>
          </cell>
          <cell r="H734">
            <v>5.4661808172334202E-8</v>
          </cell>
          <cell r="I734">
            <v>6.5022343941396294E-8</v>
          </cell>
          <cell r="J734">
            <v>6.9796848331040001E-8</v>
          </cell>
        </row>
        <row r="735">
          <cell r="A735" t="str">
            <v>RHEM-SHWODBR</v>
          </cell>
          <cell r="B735" t="str">
            <v>VAR_fout</v>
          </cell>
          <cell r="C735" t="str">
            <v>RHEM-SHWOD</v>
          </cell>
          <cell r="H735">
            <v>4.236004403143621</v>
          </cell>
          <cell r="I735">
            <v>3.6413802811964713</v>
          </cell>
          <cell r="J735">
            <v>2.2197511291701897</v>
          </cell>
        </row>
        <row r="736">
          <cell r="A736" t="str">
            <v>RHEM-SHWODBR</v>
          </cell>
          <cell r="B736" t="str">
            <v>VAR_fin</v>
          </cell>
          <cell r="C736" t="str">
            <v>RHEMWODBRC</v>
          </cell>
          <cell r="H736">
            <v>4.236004403143621</v>
          </cell>
          <cell r="I736">
            <v>3.6413802811964713</v>
          </cell>
          <cell r="J736">
            <v>2.2197511291701897</v>
          </cell>
        </row>
        <row r="737">
          <cell r="A737" t="str">
            <v>RHEM-SHWODBR</v>
          </cell>
          <cell r="B737" t="str">
            <v>VAR_fin</v>
          </cell>
          <cell r="C737" t="str">
            <v>RWOD</v>
          </cell>
          <cell r="H737">
            <v>5.8327621467122901</v>
          </cell>
          <cell r="I737">
            <v>5.0139950398033655</v>
          </cell>
          <cell r="J737">
            <v>2.9772595403907194</v>
          </cell>
        </row>
        <row r="738">
          <cell r="A738" t="str">
            <v>RHEM-SHWODBR</v>
          </cell>
          <cell r="B738" t="str">
            <v>VAR_ncap</v>
          </cell>
          <cell r="C738" t="str">
            <v>-</v>
          </cell>
          <cell r="H738">
            <v>0.177269750946768</v>
          </cell>
          <cell r="I738">
            <v>7.3759146763339306E-2</v>
          </cell>
          <cell r="J738">
            <v>2.8528757256085599E-2</v>
          </cell>
        </row>
        <row r="739">
          <cell r="A739" t="str">
            <v>RHEM-SHWODBR</v>
          </cell>
          <cell r="B739" t="str">
            <v>VAR_cap</v>
          </cell>
          <cell r="C739" t="str">
            <v>-</v>
          </cell>
          <cell r="H739">
            <v>0.29915674202843706</v>
          </cell>
          <cell r="I739">
            <v>0.25722650222683835</v>
          </cell>
          <cell r="J739">
            <v>0.15704224816870585</v>
          </cell>
        </row>
        <row r="740">
          <cell r="A740" t="str">
            <v>RHES-SHCONBR9</v>
          </cell>
          <cell r="B740" t="str">
            <v>VAR_fout</v>
          </cell>
          <cell r="C740" t="str">
            <v>RHES-SHCON</v>
          </cell>
          <cell r="H740">
            <v>3.3290276470202026E-5</v>
          </cell>
          <cell r="I740">
            <v>2.4413586861901165E-5</v>
          </cell>
          <cell r="J740">
            <v>1.7036702859058722E-5</v>
          </cell>
        </row>
        <row r="741">
          <cell r="A741" t="str">
            <v>RHES-SHCONBR9</v>
          </cell>
          <cell r="B741" t="str">
            <v>VAR_fin</v>
          </cell>
          <cell r="C741" t="str">
            <v>CON</v>
          </cell>
          <cell r="H741">
            <v>3.3290276470202026E-5</v>
          </cell>
          <cell r="I741">
            <v>2.4413586861901165E-5</v>
          </cell>
          <cell r="J741">
            <v>1.7036702859058722E-5</v>
          </cell>
        </row>
        <row r="742">
          <cell r="A742" t="str">
            <v>RHES-SHCONBR9</v>
          </cell>
          <cell r="B742" t="str">
            <v>VAR_cap</v>
          </cell>
          <cell r="C742" t="str">
            <v>-</v>
          </cell>
        </row>
        <row r="743">
          <cell r="A743" t="str">
            <v>D-RHNS_LTH_CHPNGA</v>
          </cell>
          <cell r="B743" t="str">
            <v>VAR_fout</v>
          </cell>
          <cell r="C743" t="str">
            <v>RHSA_LTH</v>
          </cell>
          <cell r="H743">
            <v>5.0074311805365153E-2</v>
          </cell>
          <cell r="I743">
            <v>1.4172153116400698E-2</v>
          </cell>
          <cell r="J743">
            <v>4.2384342777323901E-6</v>
          </cell>
        </row>
        <row r="744">
          <cell r="A744" t="str">
            <v>D-RHNS_LTH_CHPNGA</v>
          </cell>
          <cell r="B744" t="str">
            <v>VAR_fout</v>
          </cell>
          <cell r="C744" t="str">
            <v>LTH</v>
          </cell>
          <cell r="H744">
            <v>4.5093368770614085E-5</v>
          </cell>
          <cell r="I744">
            <v>2.8551848934746304E-5</v>
          </cell>
          <cell r="J744">
            <v>2.900212101510059E-6</v>
          </cell>
        </row>
        <row r="745">
          <cell r="A745" t="str">
            <v>D-RHNS_LTH_CHPNGA</v>
          </cell>
          <cell r="B745" t="str">
            <v>VAR_fout</v>
          </cell>
          <cell r="C745" t="str">
            <v>RHNS_LTH_CHPNGA_ON</v>
          </cell>
          <cell r="H745">
            <v>1.8036870333617743E-3</v>
          </cell>
          <cell r="I745">
            <v>1.214423831033315E-2</v>
          </cell>
          <cell r="J745">
            <v>1.5300983386969595E-6</v>
          </cell>
        </row>
        <row r="746">
          <cell r="A746" t="str">
            <v>D-RHNS_LTH_CHPNGA</v>
          </cell>
          <cell r="B746" t="str">
            <v>VAR_fin</v>
          </cell>
          <cell r="C746" t="str">
            <v>RHNS_LTH_CHPNGA</v>
          </cell>
          <cell r="H746">
            <v>5.1923092207497572E-2</v>
          </cell>
          <cell r="I746">
            <v>2.6345112679156183E-2</v>
          </cell>
          <cell r="J746">
            <v>8.6687447179394027E-6</v>
          </cell>
        </row>
        <row r="747">
          <cell r="A747" t="str">
            <v>D-SLFO</v>
          </cell>
          <cell r="B747" t="str">
            <v>VAR_fout</v>
          </cell>
          <cell r="C747" t="str">
            <v>CO2</v>
          </cell>
          <cell r="H747">
            <v>670.43561785384804</v>
          </cell>
          <cell r="I747">
            <v>271.08226378315902</v>
          </cell>
          <cell r="J747">
            <v>2.4575809990283698E-4</v>
          </cell>
        </row>
        <row r="748">
          <cell r="A748" t="str">
            <v>D-SLFO</v>
          </cell>
          <cell r="B748" t="str">
            <v>VAR_fout</v>
          </cell>
          <cell r="C748" t="str">
            <v>SLFO</v>
          </cell>
          <cell r="H748">
            <v>8.9451736253593328</v>
          </cell>
          <cell r="I748">
            <v>3.6171092442199253</v>
          </cell>
          <cell r="J748">
            <v>0.20370887628180395</v>
          </cell>
        </row>
        <row r="749">
          <cell r="A749" t="str">
            <v>D-SLFO</v>
          </cell>
          <cell r="B749" t="str">
            <v>VAR_fin</v>
          </cell>
          <cell r="C749" t="str">
            <v>LFO</v>
          </cell>
          <cell r="H749">
            <v>9.0968197809206028</v>
          </cell>
          <cell r="I749">
            <v>3.6781853973291523</v>
          </cell>
          <cell r="J749">
            <v>3.3345739471212696E-6</v>
          </cell>
        </row>
        <row r="750">
          <cell r="A750" t="str">
            <v>D-SLFO</v>
          </cell>
          <cell r="B750" t="str">
            <v>VAR_fin</v>
          </cell>
          <cell r="C750" t="str">
            <v>BDS</v>
          </cell>
          <cell r="H750">
            <v>2.8653968476405323E-4</v>
          </cell>
          <cell r="I750">
            <v>3.6085216208193847E-4</v>
          </cell>
          <cell r="J750">
            <v>0.20716648112306693</v>
          </cell>
        </row>
        <row r="751">
          <cell r="A751" t="str">
            <v>D-RCOA</v>
          </cell>
          <cell r="B751" t="str">
            <v>VAR_fout</v>
          </cell>
          <cell r="C751" t="str">
            <v>CO2</v>
          </cell>
        </row>
        <row r="752">
          <cell r="A752" t="str">
            <v>D-RCOA</v>
          </cell>
          <cell r="B752" t="str">
            <v>VAR_fout</v>
          </cell>
          <cell r="C752" t="str">
            <v>RCOA</v>
          </cell>
        </row>
        <row r="753">
          <cell r="A753" t="str">
            <v>D-RCOA</v>
          </cell>
          <cell r="B753" t="str">
            <v>VAR_fin</v>
          </cell>
          <cell r="C753" t="str">
            <v>COA</v>
          </cell>
        </row>
        <row r="754">
          <cell r="A754" t="str">
            <v>SCOM-ELCSPECDC</v>
          </cell>
          <cell r="B754" t="str">
            <v>VAR_fout</v>
          </cell>
          <cell r="C754" t="str">
            <v>SCOM-ELSDC</v>
          </cell>
          <cell r="H754">
            <v>13.179390887137931</v>
          </cell>
          <cell r="I754">
            <v>13.115304700392768</v>
          </cell>
          <cell r="J754">
            <v>12.838404140405576</v>
          </cell>
        </row>
        <row r="755">
          <cell r="A755" t="str">
            <v>SCOM-ELCSPECDC</v>
          </cell>
          <cell r="B755" t="str">
            <v>VAR_fin</v>
          </cell>
          <cell r="C755" t="str">
            <v>SCOM_ELC</v>
          </cell>
          <cell r="H755">
            <v>13.179390887137931</v>
          </cell>
          <cell r="I755">
            <v>13.115304700392768</v>
          </cell>
          <cell r="J755">
            <v>12.838404140405576</v>
          </cell>
        </row>
        <row r="756">
          <cell r="A756" t="str">
            <v>D-RHEM_KEV_WOD_ELC_CHP</v>
          </cell>
          <cell r="B756" t="str">
            <v>VAR_fout</v>
          </cell>
          <cell r="C756" t="str">
            <v>ELC5</v>
          </cell>
          <cell r="H756">
            <v>1.0113670142378377E-3</v>
          </cell>
          <cell r="I756">
            <v>7.5241784867737427E-4</v>
          </cell>
          <cell r="J756">
            <v>3.1809604830346938E-4</v>
          </cell>
        </row>
        <row r="757">
          <cell r="A757" t="str">
            <v>D-RHEM_KEV_WOD_ELC_CHP</v>
          </cell>
          <cell r="B757" t="str">
            <v>VAR_fout</v>
          </cell>
          <cell r="C757" t="str">
            <v>RHEM_ELC</v>
          </cell>
          <cell r="H757">
            <v>5.4099575993998755E-2</v>
          </cell>
          <cell r="I757">
            <v>5.3897210880027031E-2</v>
          </cell>
          <cell r="J757">
            <v>1.2582401189310019E-3</v>
          </cell>
        </row>
        <row r="758">
          <cell r="A758" t="str">
            <v>D-RHEM_KEV_WOD_ELC_CHP</v>
          </cell>
          <cell r="B758" t="str">
            <v>VAR_fin</v>
          </cell>
          <cell r="C758" t="str">
            <v>RHEM_KEV_WOD_ELC_CHP</v>
          </cell>
          <cell r="H758">
            <v>5.5105463084555044E-2</v>
          </cell>
          <cell r="I758">
            <v>5.4645792974431701E-2</v>
          </cell>
          <cell r="J758">
            <v>1.5726858088001402E-3</v>
          </cell>
        </row>
        <row r="759">
          <cell r="A759" t="str">
            <v>RHES-SHSTG-SOL</v>
          </cell>
          <cell r="B759" t="str">
            <v>VAR_fout</v>
          </cell>
          <cell r="C759" t="str">
            <v>AUX_RHES-SHSTG-SOL_OUT</v>
          </cell>
          <cell r="H759">
            <v>9.5546083906020238E-3</v>
          </cell>
          <cell r="I759">
            <v>4.711690936176233E-3</v>
          </cell>
          <cell r="J759">
            <v>4.3143180067308131E-3</v>
          </cell>
        </row>
        <row r="760">
          <cell r="A760" t="str">
            <v>RHES-SHSTG-SOL</v>
          </cell>
          <cell r="B760" t="str">
            <v>VAR_fout</v>
          </cell>
          <cell r="C760" t="str">
            <v>RHES-SHASOL</v>
          </cell>
          <cell r="H760">
            <v>9.545063327274745E-3</v>
          </cell>
          <cell r="I760">
            <v>4.7069839522240154E-3</v>
          </cell>
          <cell r="J760">
            <v>4.3100079987320834E-3</v>
          </cell>
        </row>
        <row r="761">
          <cell r="A761" t="str">
            <v>RHES-SHSTG-SOL</v>
          </cell>
          <cell r="B761" t="str">
            <v>VAR_fin</v>
          </cell>
          <cell r="C761" t="str">
            <v>RHES-SHASOL</v>
          </cell>
          <cell r="H761">
            <v>9.5498314163224973E-3</v>
          </cell>
          <cell r="I761">
            <v>4.7088208758373851E-3</v>
          </cell>
          <cell r="J761">
            <v>4.3126358354343185E-3</v>
          </cell>
        </row>
        <row r="762">
          <cell r="A762" t="str">
            <v>RHES-SHSTG-SOL</v>
          </cell>
          <cell r="B762" t="str">
            <v>VAR_ncap</v>
          </cell>
          <cell r="C762" t="str">
            <v>-</v>
          </cell>
          <cell r="H762">
            <v>2.9933657170111801E-4</v>
          </cell>
          <cell r="I762">
            <v>4.0623318874131201E-4</v>
          </cell>
          <cell r="J762">
            <v>2.65352346242825E-4</v>
          </cell>
        </row>
        <row r="763">
          <cell r="A763" t="str">
            <v>RHES-SHSTG-SOL</v>
          </cell>
          <cell r="B763" t="str">
            <v>VAR_cap</v>
          </cell>
          <cell r="C763" t="str">
            <v>-</v>
          </cell>
          <cell r="H763">
            <v>3.2305996651662001E-3</v>
          </cell>
          <cell r="I763">
            <v>7.05778799705485E-4</v>
          </cell>
          <cell r="J763">
            <v>6.8678715860437205E-4</v>
          </cell>
        </row>
        <row r="764">
          <cell r="A764" t="str">
            <v>D-ITOT_LTH</v>
          </cell>
          <cell r="B764" t="str">
            <v>VAR_fout</v>
          </cell>
          <cell r="C764" t="str">
            <v>ITOT_LTH_DH</v>
          </cell>
          <cell r="H764">
            <v>7.6289090443296024</v>
          </cell>
          <cell r="I764">
            <v>7.628912226957798</v>
          </cell>
          <cell r="J764">
            <v>10.1824589802867</v>
          </cell>
        </row>
        <row r="765">
          <cell r="A765" t="str">
            <v>D-ITOT_LTH</v>
          </cell>
          <cell r="B765" t="str">
            <v>VAR_fin</v>
          </cell>
          <cell r="C765" t="str">
            <v>LTH</v>
          </cell>
          <cell r="H765">
            <v>8.2772643146624745</v>
          </cell>
          <cell r="I765">
            <v>8.2718421858576736</v>
          </cell>
          <cell r="J765">
            <v>11.02613540519363</v>
          </cell>
        </row>
        <row r="766">
          <cell r="A766" t="str">
            <v>D-ITOT_LTH</v>
          </cell>
          <cell r="B766" t="str">
            <v>VAR_ncap</v>
          </cell>
          <cell r="C766" t="str">
            <v>-</v>
          </cell>
          <cell r="H766">
            <v>3.0879728308038899E-8</v>
          </cell>
          <cell r="I766">
            <v>4.7297149914005302E-8</v>
          </cell>
          <cell r="J766">
            <v>7.4409822722577105E-8</v>
          </cell>
        </row>
        <row r="767">
          <cell r="A767" t="str">
            <v>D-ITOT_LTH</v>
          </cell>
          <cell r="B767" t="str">
            <v>VAR_cap</v>
          </cell>
          <cell r="C767" t="str">
            <v>-</v>
          </cell>
          <cell r="H767">
            <v>0.79547248999307296</v>
          </cell>
          <cell r="I767">
            <v>0.79547253729022205</v>
          </cell>
          <cell r="J767">
            <v>0.79547261170004502</v>
          </cell>
        </row>
        <row r="768">
          <cell r="A768" t="str">
            <v>D-IH2</v>
          </cell>
          <cell r="B768" t="str">
            <v>VAR_fout</v>
          </cell>
          <cell r="C768" t="str">
            <v>IH2</v>
          </cell>
          <cell r="H768">
            <v>1.2467850028073251</v>
          </cell>
          <cell r="I768">
            <v>1.7318495619493177</v>
          </cell>
          <cell r="J768">
            <v>8.5361958580574839</v>
          </cell>
        </row>
        <row r="769">
          <cell r="A769" t="str">
            <v>D-IH2</v>
          </cell>
          <cell r="B769" t="str">
            <v>VAR_fin</v>
          </cell>
          <cell r="C769" t="str">
            <v>H2</v>
          </cell>
          <cell r="H769">
            <v>1.2562834947341754</v>
          </cell>
          <cell r="I769">
            <v>1.7450434639016632</v>
          </cell>
          <cell r="J769">
            <v>8.6012279103048233</v>
          </cell>
        </row>
        <row r="770">
          <cell r="A770" t="str">
            <v>D-IH2</v>
          </cell>
          <cell r="B770" t="str">
            <v>VAR_ncap</v>
          </cell>
          <cell r="C770" t="str">
            <v>-</v>
          </cell>
          <cell r="H770">
            <v>4.3773486590347098E-2</v>
          </cell>
          <cell r="I770">
            <v>2.69383100923902E-2</v>
          </cell>
          <cell r="J770">
            <v>0.303215215252013</v>
          </cell>
        </row>
        <row r="771">
          <cell r="A771" t="str">
            <v>D-IH2</v>
          </cell>
          <cell r="B771" t="str">
            <v>VAR_cap</v>
          </cell>
          <cell r="C771" t="str">
            <v>-</v>
          </cell>
          <cell r="H771">
            <v>4.3972242084985597E-2</v>
          </cell>
          <cell r="I771">
            <v>7.0910552177375893E-2</v>
          </cell>
          <cell r="J771">
            <v>0.37412576742938902</v>
          </cell>
        </row>
        <row r="772">
          <cell r="A772" t="str">
            <v>D-RHNM_LTH_CHPWOD</v>
          </cell>
          <cell r="B772" t="str">
            <v>VAR_fout</v>
          </cell>
          <cell r="C772" t="str">
            <v>RHNM_LTH_CHPWOD_ON</v>
          </cell>
          <cell r="H772">
            <v>5.5010642535091945E-3</v>
          </cell>
          <cell r="I772">
            <v>8.6783823551763228E-2</v>
          </cell>
        </row>
        <row r="773">
          <cell r="A773" t="str">
            <v>D-RHNM_LTH_CHPWOD</v>
          </cell>
          <cell r="B773" t="str">
            <v>VAR_fout</v>
          </cell>
          <cell r="C773" t="str">
            <v>RHSA_LTH</v>
          </cell>
          <cell r="H773">
            <v>0.14760993846979248</v>
          </cell>
          <cell r="I773">
            <v>6.3957630196617266E-2</v>
          </cell>
          <cell r="J773">
            <v>3.8369036534144354E-3</v>
          </cell>
        </row>
        <row r="774">
          <cell r="A774" t="str">
            <v>D-RHNM_LTH_CHPWOD</v>
          </cell>
          <cell r="B774" t="str">
            <v>VAR_fout</v>
          </cell>
          <cell r="C774" t="str">
            <v>LTH</v>
          </cell>
          <cell r="H774">
            <v>1.0230992712169768E-4</v>
          </cell>
          <cell r="I774">
            <v>1.0203308519924127E-4</v>
          </cell>
          <cell r="J774">
            <v>6.7099895666668205E-6</v>
          </cell>
        </row>
        <row r="775">
          <cell r="A775" t="str">
            <v>D-RHNM_LTH_CHPWOD</v>
          </cell>
          <cell r="B775" t="str">
            <v>VAR_fin</v>
          </cell>
          <cell r="C775" t="str">
            <v>RHNM_LTH_CHPWOD</v>
          </cell>
          <cell r="H775">
            <v>0.15321331265042346</v>
          </cell>
          <cell r="I775">
            <v>0.15084348683357968</v>
          </cell>
          <cell r="J775">
            <v>3.8441729529543429E-3</v>
          </cell>
        </row>
        <row r="776">
          <cell r="A776" t="str">
            <v>RHNS-SHWODBR</v>
          </cell>
          <cell r="B776" t="str">
            <v>VAR_fout</v>
          </cell>
          <cell r="C776" t="str">
            <v>RHNS-SHWOD</v>
          </cell>
          <cell r="H776">
            <v>0.12044041053346342</v>
          </cell>
          <cell r="I776">
            <v>0.12366591271322894</v>
          </cell>
          <cell r="J776">
            <v>0.12205059308484774</v>
          </cell>
        </row>
        <row r="777">
          <cell r="A777" t="str">
            <v>RHNS-SHWODBR</v>
          </cell>
          <cell r="B777" t="str">
            <v>VAR_fin</v>
          </cell>
          <cell r="C777" t="str">
            <v>RHNSWODBRC</v>
          </cell>
          <cell r="H777">
            <v>0.12044041053346342</v>
          </cell>
          <cell r="I777">
            <v>0.12366591271322894</v>
          </cell>
          <cell r="J777">
            <v>0.12205059308484774</v>
          </cell>
        </row>
        <row r="778">
          <cell r="A778" t="str">
            <v>RHNS-SHWODBR</v>
          </cell>
          <cell r="B778" t="str">
            <v>VAR_fin</v>
          </cell>
          <cell r="C778" t="str">
            <v>RWOD</v>
          </cell>
          <cell r="H778">
            <v>0.15847536814664842</v>
          </cell>
          <cell r="I778">
            <v>0.16247801769537432</v>
          </cell>
          <cell r="J778">
            <v>0.16035573577139395</v>
          </cell>
        </row>
        <row r="779">
          <cell r="A779" t="str">
            <v>RHNS-SHWODBR</v>
          </cell>
          <cell r="B779" t="str">
            <v>VAR_ncap</v>
          </cell>
          <cell r="C779" t="str">
            <v>-</v>
          </cell>
          <cell r="H779">
            <v>2.1028095266947901E-2</v>
          </cell>
        </row>
        <row r="780">
          <cell r="A780" t="str">
            <v>RHNS-SHWODBR</v>
          </cell>
          <cell r="B780" t="str">
            <v>VAR_cap</v>
          </cell>
          <cell r="C780" t="str">
            <v>-</v>
          </cell>
          <cell r="H780">
            <v>2.1262679264923492E-2</v>
          </cell>
          <cell r="I780">
            <v>2.104539700098269E-2</v>
          </cell>
          <cell r="J780">
            <v>8.8947537080199136E-3</v>
          </cell>
        </row>
        <row r="781">
          <cell r="A781" t="str">
            <v>D-RHNM_NKEV_GAS_ELC_CHP</v>
          </cell>
          <cell r="B781" t="str">
            <v>VAR_fout</v>
          </cell>
          <cell r="C781" t="str">
            <v>ELC5</v>
          </cell>
          <cell r="H781">
            <v>9.5833328900568572E-4</v>
          </cell>
          <cell r="I781">
            <v>8.6634506968919314E-4</v>
          </cell>
        </row>
        <row r="782">
          <cell r="A782" t="str">
            <v>D-RHNM_NKEV_GAS_ELC_CHP</v>
          </cell>
          <cell r="B782" t="str">
            <v>VAR_fout</v>
          </cell>
          <cell r="C782" t="str">
            <v>RHNM_ELC</v>
          </cell>
          <cell r="H782">
            <v>4.9578428400655725E-2</v>
          </cell>
          <cell r="I782">
            <v>2.5342463312135462E-2</v>
          </cell>
        </row>
        <row r="783">
          <cell r="A783" t="str">
            <v>D-RHNM_NKEV_GAS_ELC_CHP</v>
          </cell>
          <cell r="B783" t="str">
            <v>VAR_fin</v>
          </cell>
          <cell r="C783" t="str">
            <v>RHNM_NKEV_GAS_ELC_CHP</v>
          </cell>
          <cell r="H783">
            <v>5.0530804950091927E-2</v>
          </cell>
          <cell r="I783">
            <v>2.6205237586241388E-2</v>
          </cell>
        </row>
        <row r="784">
          <cell r="A784" t="str">
            <v>D-RLFO</v>
          </cell>
          <cell r="B784" t="str">
            <v>VAR_fout</v>
          </cell>
          <cell r="C784" t="str">
            <v>CO2</v>
          </cell>
          <cell r="H784">
            <v>1083.89391611919</v>
          </cell>
          <cell r="I784">
            <v>389.59647669807299</v>
          </cell>
          <cell r="J784">
            <v>2.7039262399503299E-4</v>
          </cell>
        </row>
        <row r="785">
          <cell r="A785" t="str">
            <v>D-RLFO</v>
          </cell>
          <cell r="B785" t="str">
            <v>VAR_fout</v>
          </cell>
          <cell r="C785" t="str">
            <v>RLFO</v>
          </cell>
          <cell r="H785">
            <v>14.461498306461246</v>
          </cell>
          <cell r="I785">
            <v>5.1983198488799074</v>
          </cell>
          <cell r="J785">
            <v>0.44673267527185878</v>
          </cell>
        </row>
        <row r="786">
          <cell r="A786" t="str">
            <v>D-RLFO</v>
          </cell>
          <cell r="B786" t="str">
            <v>VAR_fin</v>
          </cell>
          <cell r="C786" t="str">
            <v>LFO</v>
          </cell>
          <cell r="H786">
            <v>14.706837396461159</v>
          </cell>
          <cell r="I786">
            <v>5.2862479877621853</v>
          </cell>
          <cell r="J786">
            <v>3.6688280053600057E-6</v>
          </cell>
        </row>
        <row r="787">
          <cell r="A787" t="str">
            <v>D-RLFO</v>
          </cell>
          <cell r="B787" t="str">
            <v>VAR_fin</v>
          </cell>
          <cell r="C787" t="str">
            <v>BDS</v>
          </cell>
          <cell r="H787">
            <v>2.8713201653246014E-4</v>
          </cell>
          <cell r="I787">
            <v>3.6454437293291606E-4</v>
          </cell>
          <cell r="J787">
            <v>0.45431932195887426</v>
          </cell>
        </row>
        <row r="788">
          <cell r="A788" t="str">
            <v>D-SCOM_LTH_CHPBIO</v>
          </cell>
          <cell r="B788" t="str">
            <v>VAR_fout</v>
          </cell>
          <cell r="C788" t="str">
            <v>SCOM_LTH_CHPBIO_ON</v>
          </cell>
        </row>
        <row r="789">
          <cell r="A789" t="str">
            <v>D-SCOM_LTH_CHPBIO</v>
          </cell>
          <cell r="B789" t="str">
            <v>VAR_fout</v>
          </cell>
          <cell r="C789" t="str">
            <v>LTH</v>
          </cell>
        </row>
        <row r="790">
          <cell r="A790" t="str">
            <v>D-SCOM_LTH_CHPBIO</v>
          </cell>
          <cell r="B790" t="str">
            <v>VAR_fin</v>
          </cell>
          <cell r="C790" t="str">
            <v>SCOM_LTH_CHPBIO</v>
          </cell>
        </row>
        <row r="791">
          <cell r="A791" t="str">
            <v>D-SCOM_NKEV_GAS_ELC_CHP</v>
          </cell>
          <cell r="B791" t="str">
            <v>VAR_fout</v>
          </cell>
          <cell r="C791" t="str">
            <v>ELC5</v>
          </cell>
          <cell r="H791">
            <v>9.0795213843471092E-4</v>
          </cell>
          <cell r="I791">
            <v>6.9936991966097956E-4</v>
          </cell>
        </row>
        <row r="792">
          <cell r="A792" t="str">
            <v>D-SCOM_NKEV_GAS_ELC_CHP</v>
          </cell>
          <cell r="B792" t="str">
            <v>VAR_fout</v>
          </cell>
          <cell r="C792" t="str">
            <v>SCOM_ELC</v>
          </cell>
          <cell r="H792">
            <v>0.18267727234341707</v>
          </cell>
          <cell r="I792">
            <v>0.23975533069727772</v>
          </cell>
        </row>
        <row r="793">
          <cell r="A793" t="str">
            <v>D-SCOM_NKEV_GAS_ELC_CHP</v>
          </cell>
          <cell r="B793" t="str">
            <v>VAR_fin</v>
          </cell>
          <cell r="C793" t="str">
            <v>SCOM_NKEV_GAS_ELC_CHP</v>
          </cell>
          <cell r="H793">
            <v>0.18357835793130681</v>
          </cell>
          <cell r="I793">
            <v>0.24044837524622845</v>
          </cell>
        </row>
        <row r="794">
          <cell r="A794" t="str">
            <v>RHEM-SHLTHDH</v>
          </cell>
          <cell r="B794" t="str">
            <v>VAR_fout</v>
          </cell>
          <cell r="C794" t="str">
            <v>RHEM-SHLTHD</v>
          </cell>
          <cell r="H794">
            <v>5.2205805117259612</v>
          </cell>
          <cell r="I794">
            <v>5.293603687755863</v>
          </cell>
          <cell r="J794">
            <v>4.7178463165798243</v>
          </cell>
        </row>
        <row r="795">
          <cell r="A795" t="str">
            <v>RHEM-SHLTHDH</v>
          </cell>
          <cell r="B795" t="str">
            <v>VAR_fin</v>
          </cell>
          <cell r="C795" t="str">
            <v>RHEMLTHDHC</v>
          </cell>
          <cell r="H795">
            <v>5.2205805117259612</v>
          </cell>
          <cell r="I795">
            <v>5.293603687755863</v>
          </cell>
          <cell r="J795">
            <v>4.7178463165798243</v>
          </cell>
        </row>
        <row r="796">
          <cell r="A796" t="str">
            <v>RHEM-SHLTHDH</v>
          </cell>
          <cell r="B796" t="str">
            <v>VAR_fin</v>
          </cell>
          <cell r="C796" t="str">
            <v>RHEM_LTH_DH</v>
          </cell>
          <cell r="H796">
            <v>5.8500265539820635</v>
          </cell>
          <cell r="I796">
            <v>5.9318541434372047</v>
          </cell>
          <cell r="J796">
            <v>5.2866776343372326</v>
          </cell>
        </row>
        <row r="797">
          <cell r="A797" t="str">
            <v>RHEM-SHLTHDH</v>
          </cell>
          <cell r="B797" t="str">
            <v>VAR_ncap</v>
          </cell>
          <cell r="C797" t="str">
            <v>-</v>
          </cell>
          <cell r="H797">
            <v>1.95828475774446E-2</v>
          </cell>
          <cell r="I797">
            <v>4.4458149566159601E-2</v>
          </cell>
          <cell r="J797">
            <v>3.3337945815685902E-2</v>
          </cell>
        </row>
        <row r="798">
          <cell r="A798" t="str">
            <v>RHEM-SHLTHDH</v>
          </cell>
          <cell r="B798" t="str">
            <v>VAR_cap</v>
          </cell>
          <cell r="C798" t="str">
            <v>-</v>
          </cell>
          <cell r="H798">
            <v>0.37548723985751309</v>
          </cell>
          <cell r="I798">
            <v>0.38805211042164894</v>
          </cell>
          <cell r="J798">
            <v>0.38038677123425202</v>
          </cell>
        </row>
        <row r="799">
          <cell r="A799" t="str">
            <v>D-ITOT_SOLELC</v>
          </cell>
          <cell r="B799" t="str">
            <v>VAR_fout</v>
          </cell>
          <cell r="C799" t="str">
            <v>ITOT_ELC</v>
          </cell>
          <cell r="H799">
            <v>20.468851516936702</v>
          </cell>
          <cell r="I799">
            <v>21.427364846619014</v>
          </cell>
          <cell r="J799">
            <v>23.55698965590166</v>
          </cell>
        </row>
        <row r="800">
          <cell r="A800" t="str">
            <v>D-ITOT_SOLELC</v>
          </cell>
          <cell r="B800" t="str">
            <v>VAR_fout</v>
          </cell>
          <cell r="C800" t="str">
            <v>ELC5</v>
          </cell>
          <cell r="H800">
            <v>1.5369122731103298E-3</v>
          </cell>
          <cell r="I800">
            <v>8.7401979577924893E-2</v>
          </cell>
          <cell r="J800">
            <v>5.8503172267476596E-2</v>
          </cell>
        </row>
        <row r="801">
          <cell r="A801" t="str">
            <v>D-ITOT_SOLELC</v>
          </cell>
          <cell r="B801" t="str">
            <v>VAR_fin</v>
          </cell>
          <cell r="C801" t="str">
            <v>ITOT_SOL_ELC</v>
          </cell>
          <cell r="H801">
            <v>20.470388429209791</v>
          </cell>
          <cell r="I801">
            <v>21.514766826196936</v>
          </cell>
          <cell r="J801">
            <v>23.61549282816916</v>
          </cell>
        </row>
        <row r="802">
          <cell r="A802" t="str">
            <v>D-SWOD</v>
          </cell>
          <cell r="B802" t="str">
            <v>VAR_fout</v>
          </cell>
          <cell r="C802" t="str">
            <v>SWOD</v>
          </cell>
          <cell r="H802">
            <v>9.5387274212772049</v>
          </cell>
          <cell r="I802">
            <v>8.0137413992809083</v>
          </cell>
          <cell r="J802">
            <v>5.0879312133463523</v>
          </cell>
        </row>
        <row r="803">
          <cell r="A803" t="str">
            <v>D-SWOD</v>
          </cell>
          <cell r="B803" t="str">
            <v>VAR_fin</v>
          </cell>
          <cell r="C803" t="str">
            <v>WOD</v>
          </cell>
          <cell r="H803">
            <v>9.5387274212772049</v>
          </cell>
          <cell r="I803">
            <v>8.0137413992809083</v>
          </cell>
          <cell r="J803">
            <v>5.0879312133463523</v>
          </cell>
        </row>
        <row r="804">
          <cell r="A804" t="str">
            <v>ITOT-PROCESSCO2CCS</v>
          </cell>
          <cell r="B804" t="str">
            <v>VAR_fout</v>
          </cell>
          <cell r="C804" t="str">
            <v>CO2_O</v>
          </cell>
          <cell r="I804">
            <v>5.7004432115761311E-2</v>
          </cell>
          <cell r="J804">
            <v>1031.8823869277167</v>
          </cell>
        </row>
        <row r="805">
          <cell r="A805" t="str">
            <v>ITOT-PROCESSCO2CCS</v>
          </cell>
          <cell r="B805" t="str">
            <v>VAR_fout</v>
          </cell>
          <cell r="C805" t="str">
            <v>CO2</v>
          </cell>
          <cell r="I805">
            <v>-5.7004432115761297E-2</v>
          </cell>
          <cell r="J805">
            <v>-1031.8823869277201</v>
          </cell>
        </row>
        <row r="806">
          <cell r="A806" t="str">
            <v>ITOT-PROCESSCO2CCS</v>
          </cell>
          <cell r="B806" t="str">
            <v>VAR_fin</v>
          </cell>
          <cell r="C806" t="str">
            <v>ITOT_ELC</v>
          </cell>
          <cell r="I806">
            <v>1.207152680098476E-4</v>
          </cell>
          <cell r="J806">
            <v>2.1851627017292827</v>
          </cell>
        </row>
        <row r="807">
          <cell r="A807" t="str">
            <v>ITOT-PROCESSCO2CCS</v>
          </cell>
          <cell r="B807" t="str">
            <v>VAR_fin</v>
          </cell>
          <cell r="C807" t="str">
            <v>ITOT_LTH_DH</v>
          </cell>
          <cell r="I807">
            <v>4.6944826448274064E-5</v>
          </cell>
          <cell r="J807">
            <v>0.84978549511694246</v>
          </cell>
        </row>
        <row r="808">
          <cell r="A808" t="str">
            <v>ITOT-PROCESSCO2CCS</v>
          </cell>
          <cell r="B808" t="str">
            <v>VAR_ncap</v>
          </cell>
          <cell r="C808" t="str">
            <v>-</v>
          </cell>
          <cell r="I808">
            <v>0.16589214971454999</v>
          </cell>
          <cell r="J808">
            <v>2302.1752742754302</v>
          </cell>
        </row>
        <row r="809">
          <cell r="A809" t="str">
            <v>ITOT-PROCESSCO2CCS</v>
          </cell>
          <cell r="B809" t="str">
            <v>VAR_cap</v>
          </cell>
          <cell r="C809" t="str">
            <v>-</v>
          </cell>
          <cell r="I809">
            <v>0.16589214971454999</v>
          </cell>
          <cell r="J809">
            <v>2302.3411664251498</v>
          </cell>
        </row>
        <row r="810">
          <cell r="A810" t="str">
            <v>D-RSH2R</v>
          </cell>
          <cell r="B810" t="str">
            <v>VAR_fout</v>
          </cell>
          <cell r="C810" t="str">
            <v>RSH2</v>
          </cell>
          <cell r="H810">
            <v>1.5237163291735527E-4</v>
          </cell>
          <cell r="I810">
            <v>1.0688698038476726E-4</v>
          </cell>
          <cell r="J810">
            <v>1.3748040730220048E-4</v>
          </cell>
        </row>
        <row r="811">
          <cell r="A811" t="str">
            <v>D-RSH2R</v>
          </cell>
          <cell r="B811" t="str">
            <v>VAR_fin</v>
          </cell>
          <cell r="C811" t="str">
            <v>H2</v>
          </cell>
          <cell r="H811">
            <v>1.5237163291735527E-4</v>
          </cell>
          <cell r="I811">
            <v>1.0688698038476726E-4</v>
          </cell>
          <cell r="J811">
            <v>1.3748040730220048E-4</v>
          </cell>
        </row>
        <row r="812">
          <cell r="A812" t="str">
            <v>D-RSH2R</v>
          </cell>
          <cell r="B812" t="str">
            <v>VAR_ncap</v>
          </cell>
          <cell r="C812" t="str">
            <v>-</v>
          </cell>
          <cell r="H812">
            <v>3.5136950368608101E-5</v>
          </cell>
          <cell r="I812">
            <v>3.8459248315282703E-5</v>
          </cell>
          <cell r="J812">
            <v>1.98207860726113E-5</v>
          </cell>
        </row>
        <row r="813">
          <cell r="A813" t="str">
            <v>D-RSH2R</v>
          </cell>
          <cell r="B813" t="str">
            <v>VAR_cap</v>
          </cell>
          <cell r="C813" t="str">
            <v>-</v>
          </cell>
          <cell r="H813">
            <v>5.8162267564126403E-5</v>
          </cell>
          <cell r="I813">
            <v>4.4682772542099299E-5</v>
          </cell>
          <cell r="J813">
            <v>3.2993895754412201E-5</v>
          </cell>
        </row>
        <row r="814">
          <cell r="A814" t="str">
            <v>SCOM-SHLTHCHPBIO</v>
          </cell>
          <cell r="B814" t="str">
            <v>VAR_fout</v>
          </cell>
          <cell r="C814" t="str">
            <v>SCOM-SHLTHC-BIO</v>
          </cell>
        </row>
        <row r="815">
          <cell r="A815" t="str">
            <v>SCOM-SHLTHCHPBIO</v>
          </cell>
          <cell r="B815" t="str">
            <v>VAR_fin</v>
          </cell>
          <cell r="C815" t="str">
            <v>SCOM_LTH_CHPBIO_ON</v>
          </cell>
        </row>
        <row r="816">
          <cell r="A816" t="str">
            <v>SCOM-SHLTHCHPBIO</v>
          </cell>
          <cell r="B816" t="str">
            <v>VAR_fin</v>
          </cell>
          <cell r="C816" t="str">
            <v>SCOMLTHCHPC</v>
          </cell>
        </row>
        <row r="817">
          <cell r="A817" t="str">
            <v>SCOM-SHLTHCHPBIO</v>
          </cell>
          <cell r="B817" t="str">
            <v>VAR_ncap</v>
          </cell>
          <cell r="C817" t="str">
            <v>-</v>
          </cell>
          <cell r="H817">
            <v>4.8820386910865203E-2</v>
          </cell>
          <cell r="I817">
            <v>3.3475615290470599E-2</v>
          </cell>
          <cell r="J817">
            <v>5.0610865056092802E-2</v>
          </cell>
        </row>
        <row r="818">
          <cell r="A818" t="str">
            <v>SCOM-SHLTHCHPBIO</v>
          </cell>
          <cell r="B818" t="str">
            <v>VAR_cap</v>
          </cell>
          <cell r="C818" t="str">
            <v>-</v>
          </cell>
          <cell r="H818">
            <v>8.9262744285758103E-2</v>
          </cell>
          <cell r="I818">
            <v>7.7078800184555513E-2</v>
          </cell>
          <cell r="J818">
            <v>7.7079093938134294E-2</v>
          </cell>
        </row>
        <row r="819">
          <cell r="A819" t="str">
            <v>D-RSH2</v>
          </cell>
          <cell r="B819" t="str">
            <v>VAR_fout</v>
          </cell>
          <cell r="C819" t="str">
            <v>RSH2</v>
          </cell>
          <cell r="H819">
            <v>1.4475448193212759E-4</v>
          </cell>
          <cell r="I819">
            <v>1.0094306090732448E-4</v>
          </cell>
          <cell r="J819">
            <v>1.4494306573756196E-4</v>
          </cell>
        </row>
        <row r="820">
          <cell r="A820" t="str">
            <v>D-RSH2</v>
          </cell>
          <cell r="B820" t="str">
            <v>VAR_fin</v>
          </cell>
          <cell r="C820" t="str">
            <v>H2</v>
          </cell>
          <cell r="H820">
            <v>1.4585727774288229E-4</v>
          </cell>
          <cell r="I820">
            <v>1.0171208431307664E-4</v>
          </cell>
          <cell r="J820">
            <v>1.4604729825292031E-4</v>
          </cell>
        </row>
        <row r="821">
          <cell r="A821" t="str">
            <v>D-RSH2</v>
          </cell>
          <cell r="B821" t="str">
            <v>VAR_ncap</v>
          </cell>
          <cell r="C821" t="str">
            <v>-</v>
          </cell>
          <cell r="H821">
            <v>1.25873956782152E-5</v>
          </cell>
          <cell r="I821">
            <v>1.37496141946402E-6</v>
          </cell>
          <cell r="J821">
            <v>1.1182046943961201E-6</v>
          </cell>
        </row>
        <row r="822">
          <cell r="A822" t="str">
            <v>D-RSH2</v>
          </cell>
          <cell r="B822" t="str">
            <v>VAR_cap</v>
          </cell>
          <cell r="C822" t="str">
            <v>-</v>
          </cell>
          <cell r="H822">
            <v>5.2339918541800599E-5</v>
          </cell>
          <cell r="I822">
            <v>5.3714879961264602E-5</v>
          </cell>
          <cell r="J822">
            <v>5.4833084655660698E-5</v>
          </cell>
        </row>
        <row r="823">
          <cell r="A823" t="str">
            <v>RHES-SHNGABR</v>
          </cell>
          <cell r="B823" t="str">
            <v>VAR_fout</v>
          </cell>
          <cell r="C823" t="str">
            <v>CO2_R</v>
          </cell>
          <cell r="H823">
            <v>282.59075727501403</v>
          </cell>
          <cell r="I823">
            <v>130.72294914973901</v>
          </cell>
          <cell r="J823">
            <v>52.044519097620203</v>
          </cell>
        </row>
        <row r="824">
          <cell r="A824" t="str">
            <v>RHES-SHNGABR</v>
          </cell>
          <cell r="B824" t="str">
            <v>VAR_fout</v>
          </cell>
          <cell r="C824" t="str">
            <v>RHES-SHNGA</v>
          </cell>
          <cell r="H824">
            <v>4.5959465399045669</v>
          </cell>
          <cell r="I824">
            <v>2.1260273747954677</v>
          </cell>
          <cell r="J824">
            <v>0.86092110108720077</v>
          </cell>
        </row>
        <row r="825">
          <cell r="A825" t="str">
            <v>RHES-SHNGABR</v>
          </cell>
          <cell r="B825" t="str">
            <v>VAR_fin</v>
          </cell>
          <cell r="C825" t="str">
            <v>RNGA</v>
          </cell>
          <cell r="H825">
            <v>5.0104744197697553</v>
          </cell>
          <cell r="I825">
            <v>2.3177827863428817</v>
          </cell>
          <cell r="J825">
            <v>0.92277516130532289</v>
          </cell>
        </row>
        <row r="826">
          <cell r="A826" t="str">
            <v>RHES-SHNGABR</v>
          </cell>
          <cell r="B826" t="str">
            <v>VAR_ncap</v>
          </cell>
          <cell r="C826" t="str">
            <v>-</v>
          </cell>
          <cell r="H826">
            <v>1.38597742040823E-2</v>
          </cell>
          <cell r="I826">
            <v>0.15791001996926199</v>
          </cell>
          <cell r="J826">
            <v>7.1499611003429402E-8</v>
          </cell>
        </row>
        <row r="827">
          <cell r="A827" t="str">
            <v>RHES-SHNGABR</v>
          </cell>
          <cell r="B827" t="str">
            <v>VAR_cap</v>
          </cell>
          <cell r="C827" t="str">
            <v>-</v>
          </cell>
          <cell r="H827">
            <v>0.3713670444994196</v>
          </cell>
          <cell r="I827">
            <v>0.1717697426590849</v>
          </cell>
          <cell r="J827">
            <v>9.0132148547324292E-2</v>
          </cell>
        </row>
        <row r="828">
          <cell r="A828" t="str">
            <v>SCOM-SHLTHCHPHFC</v>
          </cell>
          <cell r="B828" t="str">
            <v>VAR_ncap</v>
          </cell>
          <cell r="C828" t="str">
            <v>-</v>
          </cell>
          <cell r="H828">
            <v>5.4360857240590499E-5</v>
          </cell>
          <cell r="I828">
            <v>9.4114822645686796E-4</v>
          </cell>
          <cell r="J828">
            <v>3.9565398715667302E-4</v>
          </cell>
        </row>
        <row r="829">
          <cell r="A829" t="str">
            <v>SCOM-SHLTHCHPHFC</v>
          </cell>
          <cell r="B829" t="str">
            <v>VAR_cap</v>
          </cell>
          <cell r="C829" t="str">
            <v>-</v>
          </cell>
          <cell r="H829">
            <v>6.7894540860601488E-5</v>
          </cell>
          <cell r="I829">
            <v>9.7447975403035139E-4</v>
          </cell>
          <cell r="J829">
            <v>6.1499584723146404E-4</v>
          </cell>
        </row>
        <row r="830">
          <cell r="A830" t="str">
            <v>RHSA-WHNGABR</v>
          </cell>
          <cell r="B830" t="str">
            <v>VAR_fout</v>
          </cell>
          <cell r="C830" t="str">
            <v>RHSA-WHNGA</v>
          </cell>
          <cell r="H830">
            <v>2.0985758114130664</v>
          </cell>
          <cell r="I830">
            <v>1.1357382973802155</v>
          </cell>
          <cell r="J830">
            <v>0.44106037529797043</v>
          </cell>
        </row>
        <row r="831">
          <cell r="A831" t="str">
            <v>RHSA-WHNGABR</v>
          </cell>
          <cell r="B831" t="str">
            <v>VAR_fout</v>
          </cell>
          <cell r="C831" t="str">
            <v>CO2_R</v>
          </cell>
          <cell r="H831">
            <v>213.282805142857</v>
          </cell>
          <cell r="I831">
            <v>115.42754312522</v>
          </cell>
          <cell r="J831">
            <v>44.825921260176202</v>
          </cell>
        </row>
        <row r="832">
          <cell r="A832" t="str">
            <v>RHSA-WHNGABR</v>
          </cell>
          <cell r="B832" t="str">
            <v>VAR_fin</v>
          </cell>
          <cell r="C832" t="str">
            <v>RNGA</v>
          </cell>
          <cell r="H832">
            <v>3.7816100202634222</v>
          </cell>
          <cell r="I832">
            <v>2.0465876440641804</v>
          </cell>
          <cell r="J832">
            <v>0.79478583794638624</v>
          </cell>
        </row>
        <row r="833">
          <cell r="A833" t="str">
            <v>RHSA-WHNGABR</v>
          </cell>
          <cell r="B833" t="str">
            <v>VAR_ncap</v>
          </cell>
          <cell r="C833" t="str">
            <v>-</v>
          </cell>
          <cell r="H833">
            <v>5.0689564806290499E-2</v>
          </cell>
          <cell r="I833">
            <v>2.69496865905231E-2</v>
          </cell>
          <cell r="J833">
            <v>1.37438160104898E-7</v>
          </cell>
        </row>
        <row r="834">
          <cell r="A834" t="str">
            <v>RHSA-WHNGABR</v>
          </cell>
          <cell r="B834" t="str">
            <v>VAR_cap</v>
          </cell>
          <cell r="C834" t="str">
            <v>-</v>
          </cell>
          <cell r="H834">
            <v>0.1446309308158869</v>
          </cell>
          <cell r="I834">
            <v>7.7639114307036808E-2</v>
          </cell>
          <cell r="J834">
            <v>4.0600170792391463E-2</v>
          </cell>
        </row>
        <row r="835">
          <cell r="A835" t="str">
            <v>ITOT-SWHWSTBR</v>
          </cell>
          <cell r="B835" t="str">
            <v>VAR_fout</v>
          </cell>
          <cell r="C835" t="str">
            <v>ITOT-SWH</v>
          </cell>
          <cell r="H835">
            <v>5.694545211675508</v>
          </cell>
          <cell r="I835">
            <v>5.5952365174814105</v>
          </cell>
          <cell r="J835">
            <v>2.9375895125919134</v>
          </cell>
        </row>
        <row r="836">
          <cell r="A836" t="str">
            <v>ITOT-SWHWSTBR</v>
          </cell>
          <cell r="B836" t="str">
            <v>VAR_fout</v>
          </cell>
          <cell r="C836" t="str">
            <v>CO2_I</v>
          </cell>
          <cell r="H836">
            <v>1000.859461446</v>
          </cell>
          <cell r="I836">
            <v>983.40520610279395</v>
          </cell>
          <cell r="J836">
            <v>501.11821097156201</v>
          </cell>
        </row>
        <row r="837">
          <cell r="A837" t="str">
            <v>ITOT-SWHWSTBR</v>
          </cell>
          <cell r="B837" t="str">
            <v>VAR_fin</v>
          </cell>
          <cell r="C837" t="str">
            <v>IWST</v>
          </cell>
          <cell r="H837">
            <v>10.78512350696119</v>
          </cell>
          <cell r="I837">
            <v>10.597038858866306</v>
          </cell>
          <cell r="J837">
            <v>5.3999807216763145</v>
          </cell>
        </row>
        <row r="838">
          <cell r="A838" t="str">
            <v>ITOT-SWHWSTBR</v>
          </cell>
          <cell r="B838" t="str">
            <v>VAR_ncap</v>
          </cell>
          <cell r="C838" t="str">
            <v>-</v>
          </cell>
          <cell r="H838">
            <v>0.23656066425395</v>
          </cell>
          <cell r="I838">
            <v>9.9470583072424304E-2</v>
          </cell>
          <cell r="J838">
            <v>1.32271112288702E-2</v>
          </cell>
        </row>
        <row r="839">
          <cell r="A839" t="str">
            <v>ITOT-SWHWSTBR</v>
          </cell>
          <cell r="B839" t="str">
            <v>VAR_cap</v>
          </cell>
          <cell r="C839" t="str">
            <v>-</v>
          </cell>
          <cell r="H839">
            <v>0.32977877919137483</v>
          </cell>
          <cell r="I839">
            <v>0.33602752213534892</v>
          </cell>
          <cell r="J839">
            <v>0.18547221810437822</v>
          </cell>
        </row>
        <row r="840">
          <cell r="A840" t="str">
            <v>SCOM-SHSTG-ELC</v>
          </cell>
          <cell r="B840" t="str">
            <v>VAR_fout</v>
          </cell>
          <cell r="C840" t="str">
            <v>SCOM-SHAELCB</v>
          </cell>
          <cell r="H840">
            <v>1.8934634209810999E-5</v>
          </cell>
          <cell r="I840">
            <v>1.4528799665582442E-5</v>
          </cell>
          <cell r="J840">
            <v>3.8329167572124256E-6</v>
          </cell>
        </row>
        <row r="841">
          <cell r="A841" t="str">
            <v>SCOM-SHSTG-ELC</v>
          </cell>
          <cell r="B841" t="str">
            <v>VAR_fin</v>
          </cell>
          <cell r="C841" t="str">
            <v>SCOM-SHAELCB</v>
          </cell>
          <cell r="H841">
            <v>2.3223226486654827E-5</v>
          </cell>
          <cell r="I841">
            <v>1.6760685317972857E-5</v>
          </cell>
          <cell r="J841">
            <v>3.8411776784754568E-6</v>
          </cell>
        </row>
        <row r="842">
          <cell r="A842" t="str">
            <v>SCOM-SHSTG-ELC</v>
          </cell>
          <cell r="B842" t="str">
            <v>VAR_ncap</v>
          </cell>
          <cell r="C842" t="str">
            <v>-</v>
          </cell>
          <cell r="H842">
            <v>4.7357693447859099E-4</v>
          </cell>
          <cell r="I842">
            <v>5.1158903693680697E-3</v>
          </cell>
          <cell r="J842">
            <v>1.2837165461835001E-4</v>
          </cell>
        </row>
        <row r="843">
          <cell r="A843" t="str">
            <v>SCOM-SHSTG-ELC</v>
          </cell>
          <cell r="B843" t="str">
            <v>VAR_cap</v>
          </cell>
          <cell r="C843" t="str">
            <v>-</v>
          </cell>
          <cell r="H843">
            <v>4.8933005083767502E-3</v>
          </cell>
          <cell r="I843">
            <v>5.580842246727712E-3</v>
          </cell>
          <cell r="J843">
            <v>3.6022793822436073E-3</v>
          </cell>
        </row>
        <row r="844">
          <cell r="A844" t="str">
            <v>SCOM-SHNGABR</v>
          </cell>
          <cell r="B844" t="str">
            <v>VAR_fout</v>
          </cell>
          <cell r="C844" t="str">
            <v>CO2_S</v>
          </cell>
          <cell r="H844">
            <v>510.20505699120599</v>
          </cell>
          <cell r="I844">
            <v>212.326245179274</v>
          </cell>
          <cell r="J844">
            <v>63.650757063437297</v>
          </cell>
        </row>
        <row r="845">
          <cell r="A845" t="str">
            <v>SCOM-SHNGABR</v>
          </cell>
          <cell r="B845" t="str">
            <v>VAR_fout</v>
          </cell>
          <cell r="C845" t="str">
            <v>SCOM-SHNGA</v>
          </cell>
          <cell r="H845">
            <v>7.8054822625722213</v>
          </cell>
          <cell r="I845">
            <v>3.2483189218054913</v>
          </cell>
          <cell r="J845">
            <v>0.97377485473750691</v>
          </cell>
        </row>
        <row r="846">
          <cell r="A846" t="str">
            <v>SCOM-SHNGABR</v>
          </cell>
          <cell r="B846" t="str">
            <v>VAR_fin</v>
          </cell>
          <cell r="C846" t="str">
            <v>SNGA</v>
          </cell>
          <cell r="H846">
            <v>9.0461889537447906</v>
          </cell>
          <cell r="I846">
            <v>3.7646497372211694</v>
          </cell>
          <cell r="J846">
            <v>1.12855952240137</v>
          </cell>
        </row>
        <row r="847">
          <cell r="A847" t="str">
            <v>SCOM-SHNGABR</v>
          </cell>
          <cell r="B847" t="str">
            <v>VAR_ncap</v>
          </cell>
          <cell r="C847" t="str">
            <v>-</v>
          </cell>
          <cell r="H847">
            <v>0.33146617993540001</v>
          </cell>
          <cell r="I847">
            <v>3.3230616299216202E-6</v>
          </cell>
          <cell r="J847">
            <v>4.6206517047710598E-7</v>
          </cell>
        </row>
        <row r="848">
          <cell r="A848" t="str">
            <v>SCOM-SHNGABR</v>
          </cell>
          <cell r="B848" t="str">
            <v>VAR_cap</v>
          </cell>
          <cell r="C848" t="str">
            <v>-</v>
          </cell>
          <cell r="H848">
            <v>0.89898750873420796</v>
          </cell>
          <cell r="I848">
            <v>0.33146919628157168</v>
          </cell>
          <cell r="J848">
            <v>0.1402082152464241</v>
          </cell>
        </row>
        <row r="849">
          <cell r="A849" t="str">
            <v>RHEM-SHELCHP</v>
          </cell>
          <cell r="B849" t="str">
            <v>VAR_fout</v>
          </cell>
          <cell r="C849" t="str">
            <v>RHEM-SHAELCH</v>
          </cell>
          <cell r="H849">
            <v>24.008888271838163</v>
          </cell>
          <cell r="I849">
            <v>29.038481420357247</v>
          </cell>
          <cell r="J849">
            <v>28.56852623545922</v>
          </cell>
        </row>
        <row r="850">
          <cell r="A850" t="str">
            <v>RHEM-SHELCHP</v>
          </cell>
          <cell r="B850" t="str">
            <v>VAR_fin</v>
          </cell>
          <cell r="C850" t="str">
            <v>RHEMELCHPC</v>
          </cell>
          <cell r="H850">
            <v>24.008888271838163</v>
          </cell>
          <cell r="I850">
            <v>29.038481420357247</v>
          </cell>
          <cell r="J850">
            <v>28.56852623545922</v>
          </cell>
        </row>
        <row r="851">
          <cell r="A851" t="str">
            <v>RHEM-SHELCHP</v>
          </cell>
          <cell r="B851" t="str">
            <v>VAR_fin</v>
          </cell>
          <cell r="C851" t="str">
            <v>RHEM_ELC</v>
          </cell>
          <cell r="H851">
            <v>6.5323377756927332</v>
          </cell>
          <cell r="I851">
            <v>7.5089943748493866</v>
          </cell>
          <cell r="J851">
            <v>6.8553358223918197</v>
          </cell>
        </row>
        <row r="852">
          <cell r="A852" t="str">
            <v>RHEM-SHELCHP</v>
          </cell>
          <cell r="B852" t="str">
            <v>VAR_ncap</v>
          </cell>
          <cell r="C852" t="str">
            <v>-</v>
          </cell>
          <cell r="H852">
            <v>0.88980039831633395</v>
          </cell>
          <cell r="I852">
            <v>0.77768364891022501</v>
          </cell>
          <cell r="J852">
            <v>1.0795536333048401</v>
          </cell>
        </row>
        <row r="853">
          <cell r="A853" t="str">
            <v>RHEM-SHELCHP</v>
          </cell>
          <cell r="B853" t="str">
            <v>VAR_cap</v>
          </cell>
          <cell r="C853" t="str">
            <v>-</v>
          </cell>
          <cell r="H853">
            <v>1.695367528556202</v>
          </cell>
          <cell r="I853">
            <v>2.050515126251014</v>
          </cell>
          <cell r="J853">
            <v>2.0203254509153523</v>
          </cell>
        </row>
        <row r="854">
          <cell r="A854" t="str">
            <v>RHNM-SHSTG-ELC</v>
          </cell>
          <cell r="B854" t="str">
            <v>VAR_fout</v>
          </cell>
          <cell r="C854" t="str">
            <v>RHNM-SHAELCB</v>
          </cell>
          <cell r="H854">
            <v>3.842881594387461E-4</v>
          </cell>
          <cell r="I854">
            <v>3.2723820550407224E-4</v>
          </cell>
          <cell r="J854">
            <v>1.3545962782851353E-4</v>
          </cell>
        </row>
        <row r="855">
          <cell r="A855" t="str">
            <v>RHNM-SHSTG-ELC</v>
          </cell>
          <cell r="B855" t="str">
            <v>VAR_fout</v>
          </cell>
          <cell r="C855" t="str">
            <v>AUX_RHNM-SHSTG-ELC_OUT</v>
          </cell>
          <cell r="H855">
            <v>3.8467244759818499E-4</v>
          </cell>
          <cell r="I855">
            <v>3.275654437095765E-4</v>
          </cell>
          <cell r="J855">
            <v>1.3559508745634218E-4</v>
          </cell>
        </row>
        <row r="856">
          <cell r="A856" t="str">
            <v>RHNM-SHSTG-ELC</v>
          </cell>
          <cell r="B856" t="str">
            <v>VAR_fin</v>
          </cell>
          <cell r="C856" t="str">
            <v>RHNM-SHAELCB</v>
          </cell>
          <cell r="H856">
            <v>3.8310741341264872E-4</v>
          </cell>
          <cell r="I856">
            <v>3.2622044096162844E-4</v>
          </cell>
          <cell r="J856">
            <v>1.3557857806189547E-4</v>
          </cell>
        </row>
        <row r="857">
          <cell r="A857" t="str">
            <v>RHNM-SHSTG-ELC</v>
          </cell>
          <cell r="B857" t="str">
            <v>VAR_ncap</v>
          </cell>
          <cell r="C857" t="str">
            <v>-</v>
          </cell>
          <cell r="H857">
            <v>1.10711442134641E-4</v>
          </cell>
          <cell r="I857">
            <v>2.8737150348196999E-5</v>
          </cell>
          <cell r="J857">
            <v>2.48768976729569E-5</v>
          </cell>
        </row>
        <row r="858">
          <cell r="A858" t="str">
            <v>RHNM-SHSTG-ELC</v>
          </cell>
          <cell r="B858" t="str">
            <v>VAR_cap</v>
          </cell>
          <cell r="C858" t="str">
            <v>-</v>
          </cell>
          <cell r="H858">
            <v>9.7226071996861106E-4</v>
          </cell>
          <cell r="I858">
            <v>1.2536632311966269E-4</v>
          </cell>
          <cell r="J858">
            <v>5.3108059601705692E-5</v>
          </cell>
        </row>
        <row r="859">
          <cell r="A859" t="str">
            <v>D-RWOD</v>
          </cell>
          <cell r="B859" t="str">
            <v>VAR_fout</v>
          </cell>
          <cell r="C859" t="str">
            <v>RWOD</v>
          </cell>
          <cell r="H859">
            <v>14.01601135199148</v>
          </cell>
          <cell r="I859">
            <v>11.932789596017674</v>
          </cell>
          <cell r="J859">
            <v>6.9804579576292829</v>
          </cell>
        </row>
        <row r="860">
          <cell r="A860" t="str">
            <v>D-RWOD</v>
          </cell>
          <cell r="B860" t="str">
            <v>VAR_fin</v>
          </cell>
          <cell r="C860" t="str">
            <v>WOD</v>
          </cell>
          <cell r="H860">
            <v>14.01601135199148</v>
          </cell>
          <cell r="I860">
            <v>11.932789596017674</v>
          </cell>
          <cell r="J860">
            <v>6.9804579576292829</v>
          </cell>
        </row>
        <row r="861">
          <cell r="A861" t="str">
            <v>RHNS-SHLTHCHPWOD</v>
          </cell>
          <cell r="B861" t="str">
            <v>VAR_ncap</v>
          </cell>
          <cell r="C861" t="str">
            <v>-</v>
          </cell>
          <cell r="H861">
            <v>2.1374686479835999E-4</v>
          </cell>
          <cell r="I861">
            <v>1.43990008484198E-4</v>
          </cell>
          <cell r="J861">
            <v>4.1484593259193302E-5</v>
          </cell>
        </row>
        <row r="862">
          <cell r="A862" t="str">
            <v>RHNS-SHLTHCHPWOD</v>
          </cell>
          <cell r="B862" t="str">
            <v>VAR_cap</v>
          </cell>
          <cell r="C862" t="str">
            <v>-</v>
          </cell>
          <cell r="H862">
            <v>2.6917569479056847E-4</v>
          </cell>
          <cell r="I862">
            <v>2.5337561284465601E-4</v>
          </cell>
          <cell r="J862">
            <v>8.3408165742258011E-5</v>
          </cell>
        </row>
        <row r="863">
          <cell r="A863" t="str">
            <v>RHNM-SHELCBR</v>
          </cell>
          <cell r="B863" t="str">
            <v>VAR_fout</v>
          </cell>
          <cell r="C863" t="str">
            <v>RHNM-SHAELCB</v>
          </cell>
          <cell r="H863">
            <v>1.6983173099919566E-3</v>
          </cell>
          <cell r="I863">
            <v>1.8593112098629616E-3</v>
          </cell>
          <cell r="J863">
            <v>1.6850666482757439E-3</v>
          </cell>
        </row>
        <row r="864">
          <cell r="A864" t="str">
            <v>RHNM-SHELCBR</v>
          </cell>
          <cell r="B864" t="str">
            <v>VAR_fin</v>
          </cell>
          <cell r="C864" t="str">
            <v>RHNM_ELC</v>
          </cell>
          <cell r="H864">
            <v>1.7877024315704811E-3</v>
          </cell>
          <cell r="I864">
            <v>1.9571696945925926E-3</v>
          </cell>
          <cell r="J864">
            <v>1.7737543666060457E-3</v>
          </cell>
        </row>
        <row r="865">
          <cell r="A865" t="str">
            <v>RHNM-SHELCBR</v>
          </cell>
          <cell r="B865" t="str">
            <v>VAR_ncap</v>
          </cell>
          <cell r="C865" t="str">
            <v>-</v>
          </cell>
          <cell r="H865">
            <v>5.31228233540697E-4</v>
          </cell>
        </row>
        <row r="866">
          <cell r="A866" t="str">
            <v>RHNM-SHELCBR</v>
          </cell>
          <cell r="B866" t="str">
            <v>VAR_cap</v>
          </cell>
          <cell r="C866" t="str">
            <v>-</v>
          </cell>
          <cell r="H866">
            <v>4.1328356164344708E-3</v>
          </cell>
          <cell r="I866">
            <v>5.3102052133762194E-4</v>
          </cell>
          <cell r="J866">
            <v>2.2437138321662912E-4</v>
          </cell>
        </row>
        <row r="867">
          <cell r="A867" t="str">
            <v>RHNS-SHSTG-NGAHP</v>
          </cell>
          <cell r="B867" t="str">
            <v>VAR_fout</v>
          </cell>
          <cell r="C867" t="str">
            <v>RHNS-SHANGAH</v>
          </cell>
          <cell r="H867">
            <v>2.9672249831912089E-2</v>
          </cell>
          <cell r="I867">
            <v>5.1176195952470624E-2</v>
          </cell>
          <cell r="J867">
            <v>5.3524883252280442E-2</v>
          </cell>
        </row>
        <row r="868">
          <cell r="A868" t="str">
            <v>RHNS-SHSTG-NGAHP</v>
          </cell>
          <cell r="B868" t="str">
            <v>VAR_fout</v>
          </cell>
          <cell r="C868" t="str">
            <v>AUX_RHNS-SHSTG-NGAHP_OUT</v>
          </cell>
          <cell r="H868">
            <v>2.970192208174401E-2</v>
          </cell>
          <cell r="I868">
            <v>5.1227372148423066E-2</v>
          </cell>
          <cell r="J868">
            <v>5.3578408135532683E-2</v>
          </cell>
        </row>
        <row r="869">
          <cell r="A869" t="str">
            <v>RHNS-SHSTG-NGAHP</v>
          </cell>
          <cell r="B869" t="str">
            <v>VAR_fin</v>
          </cell>
          <cell r="C869" t="str">
            <v>RHNS-SHANGAH</v>
          </cell>
          <cell r="H869">
            <v>2.9685184273734483E-2</v>
          </cell>
          <cell r="I869">
            <v>5.1185938705805047E-2</v>
          </cell>
          <cell r="J869">
            <v>5.3534445484926967E-2</v>
          </cell>
        </row>
        <row r="870">
          <cell r="A870" t="str">
            <v>RHNS-SHSTG-NGAHP</v>
          </cell>
          <cell r="B870" t="str">
            <v>VAR_ncap</v>
          </cell>
          <cell r="C870" t="str">
            <v>-</v>
          </cell>
          <cell r="H870">
            <v>2.6235518095840699E-3</v>
          </cell>
          <cell r="I870">
            <v>5.2631535848105997E-3</v>
          </cell>
          <cell r="J870">
            <v>7.78502533212977E-3</v>
          </cell>
        </row>
        <row r="871">
          <cell r="A871" t="str">
            <v>RHNS-SHSTG-NGAHP</v>
          </cell>
          <cell r="B871" t="str">
            <v>VAR_cap</v>
          </cell>
          <cell r="C871" t="str">
            <v>-</v>
          </cell>
          <cell r="H871">
            <v>8.5077653272098708E-3</v>
          </cell>
          <cell r="I871">
            <v>1.0673423825049504E-2</v>
          </cell>
          <cell r="J871">
            <v>1.2690421148671794E-2</v>
          </cell>
        </row>
        <row r="872">
          <cell r="A872" t="str">
            <v>RHNS-SHLTHDH</v>
          </cell>
          <cell r="B872" t="str">
            <v>VAR_fout</v>
          </cell>
          <cell r="C872" t="str">
            <v>RHNS-SHLTHD</v>
          </cell>
          <cell r="H872">
            <v>0.11686253078690269</v>
          </cell>
          <cell r="I872">
            <v>0.12152122702713714</v>
          </cell>
          <cell r="J872">
            <v>0.13088585883669074</v>
          </cell>
        </row>
        <row r="873">
          <cell r="A873" t="str">
            <v>RHNS-SHLTHDH</v>
          </cell>
          <cell r="B873" t="str">
            <v>VAR_fin</v>
          </cell>
          <cell r="C873" t="str">
            <v>RHNS_LTH_DH</v>
          </cell>
          <cell r="H873">
            <v>0.12851596675495841</v>
          </cell>
          <cell r="I873">
            <v>0.13359697170882653</v>
          </cell>
          <cell r="J873">
            <v>0.14389218087952646</v>
          </cell>
        </row>
        <row r="874">
          <cell r="A874" t="str">
            <v>RHNS-SHLTHDH</v>
          </cell>
          <cell r="B874" t="str">
            <v>VAR_fin</v>
          </cell>
          <cell r="C874" t="str">
            <v>RHNSLTHDHC</v>
          </cell>
          <cell r="H874">
            <v>0.11686253078690269</v>
          </cell>
          <cell r="I874">
            <v>0.12152122702713714</v>
          </cell>
          <cell r="J874">
            <v>0.13088585883669074</v>
          </cell>
        </row>
        <row r="875">
          <cell r="A875" t="str">
            <v>RHNS-SHLTHDH</v>
          </cell>
          <cell r="B875" t="str">
            <v>VAR_ncap</v>
          </cell>
          <cell r="C875" t="str">
            <v>-</v>
          </cell>
          <cell r="H875">
            <v>8.9387699024126906E-3</v>
          </cell>
          <cell r="I875">
            <v>1.5751427793291198E-2</v>
          </cell>
          <cell r="J875">
            <v>4.04082361694092E-3</v>
          </cell>
        </row>
        <row r="876">
          <cell r="A876" t="str">
            <v>RHNS-SHLTHDH</v>
          </cell>
          <cell r="B876" t="str">
            <v>VAR_cap</v>
          </cell>
          <cell r="C876" t="str">
            <v>-</v>
          </cell>
          <cell r="H876">
            <v>1.73489585039453E-2</v>
          </cell>
          <cell r="I876">
            <v>2.7356846201687199E-2</v>
          </cell>
          <cell r="J876">
            <v>1.70714904725459E-2</v>
          </cell>
        </row>
        <row r="877">
          <cell r="A877" t="str">
            <v>ITOT-SWHNGAHP</v>
          </cell>
          <cell r="B877" t="str">
            <v>VAR_fout</v>
          </cell>
          <cell r="C877" t="str">
            <v>ITOT-SWHANGAH</v>
          </cell>
          <cell r="H877">
            <v>1.9728274235313163E-3</v>
          </cell>
          <cell r="I877">
            <v>1.5957341231935755E-3</v>
          </cell>
          <cell r="J877">
            <v>1.6173411876957019E-3</v>
          </cell>
        </row>
        <row r="878">
          <cell r="A878" t="str">
            <v>ITOT-SWHNGAHP</v>
          </cell>
          <cell r="B878" t="str">
            <v>VAR_fout</v>
          </cell>
          <cell r="C878" t="str">
            <v>CO2_I</v>
          </cell>
          <cell r="H878">
            <v>5.6795312855511301E-2</v>
          </cell>
          <cell r="I878">
            <v>4.5091420923292297E-2</v>
          </cell>
          <cell r="J878">
            <v>4.4075124183461697E-2</v>
          </cell>
        </row>
        <row r="879">
          <cell r="A879" t="str">
            <v>ITOT-SWHNGAHP</v>
          </cell>
          <cell r="B879" t="str">
            <v>VAR_fin</v>
          </cell>
          <cell r="C879" t="str">
            <v>ITOTELCHPC</v>
          </cell>
          <cell r="H879">
            <v>1.9728274235313163E-3</v>
          </cell>
          <cell r="I879">
            <v>1.5957341231935755E-3</v>
          </cell>
          <cell r="J879">
            <v>1.6173411876957019E-3</v>
          </cell>
        </row>
        <row r="880">
          <cell r="A880" t="str">
            <v>ITOT-SWHNGAHP</v>
          </cell>
          <cell r="B880" t="str">
            <v>VAR_fin</v>
          </cell>
          <cell r="C880" t="str">
            <v>INGA</v>
          </cell>
          <cell r="H880">
            <v>1.0070090931828266E-3</v>
          </cell>
          <cell r="I880">
            <v>7.9949327878177856E-4</v>
          </cell>
          <cell r="J880">
            <v>7.8147383304010139E-4</v>
          </cell>
        </row>
        <row r="881">
          <cell r="A881" t="str">
            <v>ITOT-SWHNGAHP</v>
          </cell>
          <cell r="B881" t="str">
            <v>VAR_ncap</v>
          </cell>
          <cell r="C881" t="str">
            <v>-</v>
          </cell>
          <cell r="H881">
            <v>4.0962887381361102E-6</v>
          </cell>
          <cell r="I881">
            <v>1.5760436493020299E-4</v>
          </cell>
          <cell r="J881">
            <v>4.3807718612928701E-5</v>
          </cell>
        </row>
        <row r="882">
          <cell r="A882" t="str">
            <v>ITOT-SWHNGAHP</v>
          </cell>
          <cell r="B882" t="str">
            <v>VAR_cap</v>
          </cell>
          <cell r="C882" t="str">
            <v>-</v>
          </cell>
          <cell r="H882">
            <v>2.057053494912523E-4</v>
          </cell>
          <cell r="I882">
            <v>1.6180590645529258E-4</v>
          </cell>
          <cell r="J882">
            <v>1.5924878457919024E-4</v>
          </cell>
        </row>
        <row r="883">
          <cell r="A883" t="str">
            <v>RHSA-WHLFOBR</v>
          </cell>
          <cell r="B883" t="str">
            <v>VAR_fout</v>
          </cell>
          <cell r="C883" t="str">
            <v>CO2_R</v>
          </cell>
          <cell r="H883">
            <v>173.750192096853</v>
          </cell>
          <cell r="I883">
            <v>79.149362455686202</v>
          </cell>
          <cell r="J883">
            <v>3.9979688707012899</v>
          </cell>
        </row>
        <row r="884">
          <cell r="A884" t="str">
            <v>RHSA-WHLFOBR</v>
          </cell>
          <cell r="B884" t="str">
            <v>VAR_fout</v>
          </cell>
          <cell r="C884" t="str">
            <v>RHSA-WHLFO</v>
          </cell>
          <cell r="H884">
            <v>1.294269927115034</v>
          </cell>
          <cell r="I884">
            <v>0.59660369060449248</v>
          </cell>
          <cell r="J884">
            <v>3.1771595347376579E-2</v>
          </cell>
        </row>
        <row r="885">
          <cell r="A885" t="str">
            <v>RHSA-WHLFOBR</v>
          </cell>
          <cell r="B885" t="str">
            <v>VAR_fin</v>
          </cell>
          <cell r="C885" t="str">
            <v>RLFO</v>
          </cell>
          <cell r="H885">
            <v>2.3575331356425155</v>
          </cell>
          <cell r="I885">
            <v>1.0739397890866513</v>
          </cell>
          <cell r="J885">
            <v>5.4246524704223711E-2</v>
          </cell>
        </row>
        <row r="886">
          <cell r="A886" t="str">
            <v>RHSA-WHLFOBR</v>
          </cell>
          <cell r="B886" t="str">
            <v>VAR_ncap</v>
          </cell>
          <cell r="C886" t="str">
            <v>-</v>
          </cell>
          <cell r="H886">
            <v>1.41056370575691E-2</v>
          </cell>
          <cell r="I886">
            <v>2.66768562035655E-2</v>
          </cell>
        </row>
        <row r="887">
          <cell r="A887" t="str">
            <v>RHSA-WHLFOBR</v>
          </cell>
          <cell r="B887" t="str">
            <v>VAR_cap</v>
          </cell>
          <cell r="C887" t="str">
            <v>-</v>
          </cell>
          <cell r="H887">
            <v>8.8505817199323086E-2</v>
          </cell>
          <cell r="I887">
            <v>4.0782364093808331E-2</v>
          </cell>
          <cell r="J887">
            <v>2.8971456047960989E-3</v>
          </cell>
        </row>
        <row r="888">
          <cell r="A888" t="str">
            <v>D-IWST</v>
          </cell>
          <cell r="B888" t="str">
            <v>VAR_fout</v>
          </cell>
          <cell r="C888" t="str">
            <v>CO2</v>
          </cell>
          <cell r="H888">
            <v>1001.75485410329</v>
          </cell>
          <cell r="I888">
            <v>996.69864672296205</v>
          </cell>
          <cell r="J888">
            <v>986.58520852522702</v>
          </cell>
        </row>
        <row r="889">
          <cell r="A889" t="str">
            <v>D-IWST</v>
          </cell>
          <cell r="B889" t="str">
            <v>VAR_fout</v>
          </cell>
          <cell r="C889" t="str">
            <v>IWST</v>
          </cell>
          <cell r="H889">
            <v>10.794772134733785</v>
          </cell>
          <cell r="I889">
            <v>10.740287141411217</v>
          </cell>
          <cell r="J889">
            <v>10.631306126349422</v>
          </cell>
        </row>
        <row r="890">
          <cell r="A890" t="str">
            <v>D-IWST</v>
          </cell>
          <cell r="B890" t="str">
            <v>VAR_fin</v>
          </cell>
          <cell r="C890" t="str">
            <v>WSTNREN</v>
          </cell>
          <cell r="H890">
            <v>10.794772134733785</v>
          </cell>
          <cell r="I890">
            <v>10.740287141411217</v>
          </cell>
          <cell r="J890">
            <v>10.631306126349422</v>
          </cell>
        </row>
        <row r="891">
          <cell r="A891" t="str">
            <v>RHES-SHLFOBR</v>
          </cell>
          <cell r="B891" t="str">
            <v>VAR_fout</v>
          </cell>
          <cell r="C891" t="str">
            <v>CO2_R</v>
          </cell>
          <cell r="H891">
            <v>331.40922381737698</v>
          </cell>
          <cell r="I891">
            <v>105.28285185986699</v>
          </cell>
          <cell r="J891">
            <v>10.6621623127349</v>
          </cell>
        </row>
        <row r="892">
          <cell r="A892" t="str">
            <v>RHES-SHLFOBR</v>
          </cell>
          <cell r="B892" t="str">
            <v>VAR_fout</v>
          </cell>
          <cell r="C892" t="str">
            <v>RHES-SHLFO</v>
          </cell>
          <cell r="H892">
            <v>3.8871852399365565</v>
          </cell>
          <cell r="I892">
            <v>1.2323664089379736</v>
          </cell>
          <cell r="J892">
            <v>0.12515092806099762</v>
          </cell>
        </row>
        <row r="893">
          <cell r="A893" t="str">
            <v>RHES-SHLFOBR</v>
          </cell>
          <cell r="B893" t="str">
            <v>VAR_fin</v>
          </cell>
          <cell r="C893" t="str">
            <v>RLFO</v>
          </cell>
          <cell r="H893">
            <v>4.4967330233022658</v>
          </cell>
          <cell r="I893">
            <v>1.4285325896861183</v>
          </cell>
          <cell r="J893">
            <v>0.14466977357849198</v>
          </cell>
        </row>
        <row r="894">
          <cell r="A894" t="str">
            <v>RHES-SHLFOBR</v>
          </cell>
          <cell r="B894" t="str">
            <v>VAR_ncap</v>
          </cell>
          <cell r="C894" t="str">
            <v>-</v>
          </cell>
          <cell r="H894">
            <v>1.9300490800974999E-3</v>
          </cell>
          <cell r="I894">
            <v>9.7639241245054298E-2</v>
          </cell>
          <cell r="J894">
            <v>4.8244465159585101E-8</v>
          </cell>
        </row>
        <row r="895">
          <cell r="A895" t="str">
            <v>RHES-SHLFOBR</v>
          </cell>
          <cell r="B895" t="str">
            <v>VAR_cap</v>
          </cell>
          <cell r="C895" t="str">
            <v>-</v>
          </cell>
          <cell r="H895">
            <v>0.31409237218079367</v>
          </cell>
          <cell r="I895">
            <v>9.9569241774282904E-2</v>
          </cell>
          <cell r="J895">
            <v>1.3561394834617893E-2</v>
          </cell>
        </row>
        <row r="896">
          <cell r="A896" t="str">
            <v>ITOT-SWHSTG</v>
          </cell>
          <cell r="B896" t="str">
            <v>VAR_fout</v>
          </cell>
          <cell r="C896" t="str">
            <v>ITOT-SWH</v>
          </cell>
          <cell r="H896">
            <v>1.3536330593862226E-3</v>
          </cell>
          <cell r="I896">
            <v>2.392533721907686E-3</v>
          </cell>
          <cell r="J896">
            <v>1.3070665978094425</v>
          </cell>
        </row>
        <row r="897">
          <cell r="A897" t="str">
            <v>ITOT-SWHSTG</v>
          </cell>
          <cell r="B897" t="str">
            <v>VAR_fout</v>
          </cell>
          <cell r="C897" t="str">
            <v>AUX_ITOT-STG_OUT</v>
          </cell>
          <cell r="H897">
            <v>1.3521290226535712E-3</v>
          </cell>
          <cell r="I897">
            <v>2.3925337219076895E-3</v>
          </cell>
          <cell r="J897">
            <v>1.3070665978094425</v>
          </cell>
        </row>
        <row r="898">
          <cell r="A898" t="str">
            <v>ITOT-SWHSTG</v>
          </cell>
          <cell r="B898" t="str">
            <v>VAR_fin</v>
          </cell>
          <cell r="C898" t="str">
            <v>AUX_ITOT-STG_IN</v>
          </cell>
          <cell r="H898">
            <v>1.5040367303737331E-3</v>
          </cell>
          <cell r="I898">
            <v>2.5726168373964063E-3</v>
          </cell>
          <cell r="J898">
            <v>1.3202692753376057</v>
          </cell>
        </row>
        <row r="899">
          <cell r="A899" t="str">
            <v>ITOT-SWHSTG</v>
          </cell>
          <cell r="B899" t="str">
            <v>VAR_fin</v>
          </cell>
          <cell r="C899" t="str">
            <v>ITOT-SWH</v>
          </cell>
          <cell r="H899">
            <v>1.5040367303737331E-3</v>
          </cell>
          <cell r="I899">
            <v>2.5726168373964063E-3</v>
          </cell>
          <cell r="J899">
            <v>1.3202692753376057</v>
          </cell>
        </row>
        <row r="900">
          <cell r="A900" t="str">
            <v>ITOT-SWHSTG</v>
          </cell>
          <cell r="B900" t="str">
            <v>VAR_ncap</v>
          </cell>
          <cell r="C900" t="str">
            <v>-</v>
          </cell>
          <cell r="H900">
            <v>6.5279718975546101E-4</v>
          </cell>
          <cell r="I900">
            <v>1.69573638136837E-4</v>
          </cell>
          <cell r="J900">
            <v>0.27743516412718</v>
          </cell>
        </row>
        <row r="901">
          <cell r="A901" t="str">
            <v>ITOT-SWHSTG</v>
          </cell>
          <cell r="B901" t="str">
            <v>VAR_cap</v>
          </cell>
          <cell r="C901" t="str">
            <v>-</v>
          </cell>
          <cell r="H901">
            <v>8.192402560480474E-4</v>
          </cell>
          <cell r="I901">
            <v>8.2190149570935571E-4</v>
          </cell>
          <cell r="J901">
            <v>0.27783128727495898</v>
          </cell>
        </row>
        <row r="902">
          <cell r="A902" t="str">
            <v>SCOM-SHLFOBR</v>
          </cell>
          <cell r="B902" t="str">
            <v>VAR_fout</v>
          </cell>
          <cell r="C902" t="str">
            <v>CO2_S</v>
          </cell>
          <cell r="H902">
            <v>659.25929618898294</v>
          </cell>
          <cell r="I902">
            <v>266.58095129900801</v>
          </cell>
          <cell r="J902">
            <v>15.013344181969</v>
          </cell>
        </row>
        <row r="903">
          <cell r="A903" t="str">
            <v>SCOM-SHLFOBR</v>
          </cell>
          <cell r="B903" t="str">
            <v>VAR_fout</v>
          </cell>
          <cell r="C903" t="str">
            <v>SCOM-SHLFO</v>
          </cell>
          <cell r="H903">
            <v>7.3077931920398163</v>
          </cell>
          <cell r="I903">
            <v>2.9550109832231253</v>
          </cell>
          <cell r="J903">
            <v>0.16858318875153602</v>
          </cell>
        </row>
        <row r="904">
          <cell r="A904" t="str">
            <v>SCOM-SHLFOBR</v>
          </cell>
          <cell r="B904" t="str">
            <v>VAR_fin</v>
          </cell>
          <cell r="C904" t="str">
            <v>SLFO</v>
          </cell>
          <cell r="H904">
            <v>8.9451736253593328</v>
          </cell>
          <cell r="I904">
            <v>3.6171092442199253</v>
          </cell>
          <cell r="J904">
            <v>0.20370887628180395</v>
          </cell>
        </row>
        <row r="905">
          <cell r="A905" t="str">
            <v>SCOM-SHLFOBR</v>
          </cell>
          <cell r="B905" t="str">
            <v>VAR_ncap</v>
          </cell>
          <cell r="C905" t="str">
            <v>-</v>
          </cell>
          <cell r="H905">
            <v>0.229700181598811</v>
          </cell>
          <cell r="I905">
            <v>3.9175808252041999E-6</v>
          </cell>
          <cell r="J905">
            <v>1.8001614630979501E-7</v>
          </cell>
        </row>
        <row r="906">
          <cell r="A906" t="str">
            <v>SCOM-SHLFOBR</v>
          </cell>
          <cell r="B906" t="str">
            <v>VAR_cap</v>
          </cell>
          <cell r="C906" t="str">
            <v>-</v>
          </cell>
          <cell r="H906">
            <v>0.65899259099900909</v>
          </cell>
          <cell r="I906">
            <v>0.22970404582332227</v>
          </cell>
          <cell r="J906">
            <v>2.8489880332477499E-2</v>
          </cell>
        </row>
        <row r="907">
          <cell r="A907" t="str">
            <v>RHNM-SHPLTBR</v>
          </cell>
          <cell r="B907" t="str">
            <v>VAR_fout</v>
          </cell>
          <cell r="C907" t="str">
            <v>RHNM-SHPLT</v>
          </cell>
          <cell r="H907">
            <v>3.4942789834271071E-2</v>
          </cell>
          <cell r="I907">
            <v>3.9752425615697369E-2</v>
          </cell>
          <cell r="J907">
            <v>4.4601574989121658E-2</v>
          </cell>
        </row>
        <row r="908">
          <cell r="A908" t="str">
            <v>RHNM-SHPLTBR</v>
          </cell>
          <cell r="B908" t="str">
            <v>VAR_fin</v>
          </cell>
          <cell r="C908" t="str">
            <v>RPLT</v>
          </cell>
          <cell r="H908">
            <v>4.5978552769411291E-2</v>
          </cell>
          <cell r="I908">
            <v>5.1991321274064591E-2</v>
          </cell>
          <cell r="J908">
            <v>5.8333416858794826E-2</v>
          </cell>
        </row>
        <row r="909">
          <cell r="A909" t="str">
            <v>RHNM-SHPLTBR</v>
          </cell>
          <cell r="B909" t="str">
            <v>VAR_fin</v>
          </cell>
          <cell r="C909" t="str">
            <v>RHNMPLTBRC</v>
          </cell>
          <cell r="H909">
            <v>3.4942789834271071E-2</v>
          </cell>
          <cell r="I909">
            <v>3.9752425615697369E-2</v>
          </cell>
          <cell r="J909">
            <v>4.4601574989121658E-2</v>
          </cell>
        </row>
        <row r="910">
          <cell r="A910" t="str">
            <v>RHNM-SHPLTBR</v>
          </cell>
          <cell r="B910" t="str">
            <v>VAR_ncap</v>
          </cell>
          <cell r="C910" t="str">
            <v>-</v>
          </cell>
          <cell r="H910">
            <v>4.3111266420214003E-6</v>
          </cell>
          <cell r="I910">
            <v>3.1039978885713101E-3</v>
          </cell>
          <cell r="J910">
            <v>1.23088086359396E-3</v>
          </cell>
        </row>
        <row r="911">
          <cell r="A911" t="str">
            <v>RHNM-SHPLTBR</v>
          </cell>
          <cell r="B911" t="str">
            <v>VAR_cap</v>
          </cell>
          <cell r="C911" t="str">
            <v>-</v>
          </cell>
          <cell r="H911">
            <v>2.9090943942910951E-3</v>
          </cell>
          <cell r="I911">
            <v>3.1100559833669565E-3</v>
          </cell>
          <cell r="J911">
            <v>3.4852550806504174E-3</v>
          </cell>
        </row>
        <row r="912">
          <cell r="A912" t="str">
            <v>D-RHES_NKEV_GAS_ELC_CHP</v>
          </cell>
          <cell r="B912" t="str">
            <v>VAR_fout</v>
          </cell>
          <cell r="C912" t="str">
            <v>RHES_ELC</v>
          </cell>
          <cell r="H912">
            <v>4.3208769929954016E-3</v>
          </cell>
          <cell r="I912">
            <v>1.2954184862659925E-3</v>
          </cell>
        </row>
        <row r="913">
          <cell r="A913" t="str">
            <v>D-RHES_NKEV_GAS_ELC_CHP</v>
          </cell>
          <cell r="B913" t="str">
            <v>VAR_fout</v>
          </cell>
          <cell r="C913" t="str">
            <v>ELC5</v>
          </cell>
          <cell r="H913">
            <v>4.6729280068350199E-4</v>
          </cell>
          <cell r="I913">
            <v>3.2807295043662583E-4</v>
          </cell>
        </row>
        <row r="914">
          <cell r="A914" t="str">
            <v>D-RHES_NKEV_GAS_ELC_CHP</v>
          </cell>
          <cell r="B914" t="str">
            <v>VAR_fin</v>
          </cell>
          <cell r="C914" t="str">
            <v>RHES_NKEV_GAS_ELC_CHP</v>
          </cell>
          <cell r="H914">
            <v>4.782202264543357E-3</v>
          </cell>
          <cell r="I914">
            <v>1.6184667513206297E-3</v>
          </cell>
        </row>
        <row r="915">
          <cell r="A915" t="str">
            <v>SCOM-SHSTG-SOL</v>
          </cell>
          <cell r="B915" t="str">
            <v>VAR_fout</v>
          </cell>
          <cell r="C915" t="str">
            <v>SCOM-SHASOL</v>
          </cell>
          <cell r="H915">
            <v>2.1842109496718352E-5</v>
          </cell>
          <cell r="I915">
            <v>1.6586618676728127E-5</v>
          </cell>
          <cell r="J915">
            <v>8.0348557541989902E-6</v>
          </cell>
        </row>
        <row r="916">
          <cell r="A916" t="str">
            <v>SCOM-SHSTG-SOL</v>
          </cell>
          <cell r="B916" t="str">
            <v>VAR_fin</v>
          </cell>
          <cell r="C916" t="str">
            <v>SCOM-SHASOL</v>
          </cell>
          <cell r="H916">
            <v>2.0179209597768711E-5</v>
          </cell>
          <cell r="I916">
            <v>1.515474522371517E-5</v>
          </cell>
          <cell r="J916">
            <v>2.22361688908391E-6</v>
          </cell>
        </row>
        <row r="917">
          <cell r="A917" t="str">
            <v>SCOM-SHSTG-SOL</v>
          </cell>
          <cell r="B917" t="str">
            <v>VAR_ncap</v>
          </cell>
          <cell r="C917" t="str">
            <v>-</v>
          </cell>
          <cell r="H917">
            <v>1.7547426177442101E-2</v>
          </cell>
          <cell r="I917">
            <v>1.8568294271537101E-2</v>
          </cell>
          <cell r="J917">
            <v>2.3060617030102901E-2</v>
          </cell>
        </row>
        <row r="918">
          <cell r="A918" t="str">
            <v>SCOM-SHSTG-SOL</v>
          </cell>
          <cell r="B918" t="str">
            <v>VAR_cap</v>
          </cell>
          <cell r="C918" t="str">
            <v>-</v>
          </cell>
          <cell r="H918">
            <v>3.0707124483412299E-2</v>
          </cell>
          <cell r="I918">
            <v>3.8116201486563403E-2</v>
          </cell>
          <cell r="J918">
            <v>4.3958718082048098E-2</v>
          </cell>
        </row>
        <row r="919">
          <cell r="A919" t="str">
            <v>RHNM-SHELCBRA</v>
          </cell>
          <cell r="B919" t="str">
            <v>VAR_fout</v>
          </cell>
          <cell r="C919" t="str">
            <v>RHNM-SHELCB</v>
          </cell>
          <cell r="H919">
            <v>1.6994792113816295E-3</v>
          </cell>
          <cell r="I919">
            <v>1.8603245485414523E-3</v>
          </cell>
          <cell r="J919">
            <v>1.6849271416810349E-3</v>
          </cell>
        </row>
        <row r="920">
          <cell r="A920" t="str">
            <v>RHNM-SHELCBRA</v>
          </cell>
          <cell r="B920" t="str">
            <v>VAR_fin</v>
          </cell>
          <cell r="C920" t="str">
            <v>RHNM-SHAELCB</v>
          </cell>
          <cell r="H920">
            <v>1.6994792113816295E-3</v>
          </cell>
          <cell r="I920">
            <v>1.8603245485414523E-3</v>
          </cell>
          <cell r="J920">
            <v>1.6849271416810349E-3</v>
          </cell>
        </row>
        <row r="921">
          <cell r="A921" t="str">
            <v>RHNM-SHELCBRA</v>
          </cell>
          <cell r="B921" t="str">
            <v>VAR_ncap</v>
          </cell>
          <cell r="C921" t="str">
            <v>-</v>
          </cell>
          <cell r="H921">
            <v>5.60123852877818E-4</v>
          </cell>
        </row>
        <row r="922">
          <cell r="A922" t="str">
            <v>RHNM-SHELCBRA</v>
          </cell>
          <cell r="B922" t="str">
            <v>VAR_cap</v>
          </cell>
          <cell r="C922" t="str">
            <v>-</v>
          </cell>
          <cell r="H922">
            <v>4.1326209464256792E-3</v>
          </cell>
          <cell r="I922">
            <v>5.3207810334518566E-4</v>
          </cell>
          <cell r="J922">
            <v>2.247753888250692E-4</v>
          </cell>
        </row>
        <row r="923">
          <cell r="A923" t="str">
            <v>RHNM-SHSTG-SOL</v>
          </cell>
          <cell r="B923" t="str">
            <v>VAR_fout</v>
          </cell>
          <cell r="C923" t="str">
            <v>AUX_RHNM-SHSTG-SOL_OUT</v>
          </cell>
          <cell r="H923">
            <v>5.2779914085278523E-5</v>
          </cell>
          <cell r="I923">
            <v>5.6264550921131437E-5</v>
          </cell>
          <cell r="J923">
            <v>5.964048381683215E-5</v>
          </cell>
        </row>
        <row r="924">
          <cell r="A924" t="str">
            <v>RHNM-SHSTG-SOL</v>
          </cell>
          <cell r="B924" t="str">
            <v>VAR_fout</v>
          </cell>
          <cell r="C924" t="str">
            <v>RHNM-SHASOL</v>
          </cell>
          <cell r="H924">
            <v>5.2727186898380139E-5</v>
          </cell>
          <cell r="I924">
            <v>5.6208342578552929E-5</v>
          </cell>
          <cell r="J924">
            <v>5.9580902913918236E-5</v>
          </cell>
        </row>
        <row r="925">
          <cell r="A925" t="str">
            <v>RHNM-SHSTG-SOL</v>
          </cell>
          <cell r="B925" t="str">
            <v>VAR_fin</v>
          </cell>
          <cell r="C925" t="str">
            <v>RHNM-SHASOL</v>
          </cell>
          <cell r="H925">
            <v>5.5280717521393185E-5</v>
          </cell>
          <cell r="I925">
            <v>5.8528099271291158E-5</v>
          </cell>
          <cell r="J925">
            <v>6.3573925207833628E-5</v>
          </cell>
        </row>
        <row r="926">
          <cell r="A926" t="str">
            <v>RHNM-SHSTG-SOL</v>
          </cell>
          <cell r="B926" t="str">
            <v>VAR_ncap</v>
          </cell>
          <cell r="C926" t="str">
            <v>-</v>
          </cell>
          <cell r="H926">
            <v>3.72588839084607E-7</v>
          </cell>
          <cell r="I926">
            <v>1.0496240793101899E-5</v>
          </cell>
          <cell r="J926">
            <v>1.66621436770769E-5</v>
          </cell>
        </row>
        <row r="927">
          <cell r="A927" t="str">
            <v>RHNM-SHSTG-SOL</v>
          </cell>
          <cell r="B927" t="str">
            <v>VAR_cap</v>
          </cell>
          <cell r="C927" t="str">
            <v>-</v>
          </cell>
          <cell r="H927">
            <v>1.10031636456576E-4</v>
          </cell>
          <cell r="I927">
            <v>2.8302119534300499E-5</v>
          </cell>
          <cell r="J927">
            <v>2.4437220581385998E-5</v>
          </cell>
        </row>
        <row r="928">
          <cell r="A928" t="str">
            <v>RHNS-SHELCHP</v>
          </cell>
          <cell r="B928" t="str">
            <v>VAR_fout</v>
          </cell>
          <cell r="C928" t="str">
            <v>RHNS-SHAELCH</v>
          </cell>
          <cell r="H928">
            <v>2.3718959105307351</v>
          </cell>
          <cell r="I928">
            <v>2.8034902874762162</v>
          </cell>
          <cell r="J928">
            <v>3.4312147968588156</v>
          </cell>
        </row>
        <row r="929">
          <cell r="A929" t="str">
            <v>RHNS-SHELCHP</v>
          </cell>
          <cell r="B929" t="str">
            <v>VAR_fin</v>
          </cell>
          <cell r="C929" t="str">
            <v>RHNS_ELC</v>
          </cell>
          <cell r="H929">
            <v>0.63148537445332853</v>
          </cell>
          <cell r="I929">
            <v>0.72146490080901349</v>
          </cell>
          <cell r="J929">
            <v>0.81705766828892212</v>
          </cell>
        </row>
        <row r="930">
          <cell r="A930" t="str">
            <v>RHNS-SHELCHP</v>
          </cell>
          <cell r="B930" t="str">
            <v>VAR_fin</v>
          </cell>
          <cell r="C930" t="str">
            <v>RHNSELCHPC</v>
          </cell>
          <cell r="H930">
            <v>2.3718959105307351</v>
          </cell>
          <cell r="I930">
            <v>2.8034902874762162</v>
          </cell>
          <cell r="J930">
            <v>3.4312147968588156</v>
          </cell>
        </row>
        <row r="931">
          <cell r="A931" t="str">
            <v>RHNS-SHELCHP</v>
          </cell>
          <cell r="B931" t="str">
            <v>VAR_ncap</v>
          </cell>
          <cell r="C931" t="str">
            <v>-</v>
          </cell>
          <cell r="H931">
            <v>4.3847635305155397E-2</v>
          </cell>
          <cell r="I931">
            <v>0.11149092919742599</v>
          </cell>
          <cell r="J931">
            <v>0.15050804672530901</v>
          </cell>
        </row>
        <row r="932">
          <cell r="A932" t="str">
            <v>RHNS-SHELCHP</v>
          </cell>
          <cell r="B932" t="str">
            <v>VAR_cap</v>
          </cell>
          <cell r="C932" t="str">
            <v>-</v>
          </cell>
          <cell r="H932">
            <v>0.17281307623737419</v>
          </cell>
          <cell r="I932">
            <v>0.20424008939926638</v>
          </cell>
          <cell r="J932">
            <v>0.24996798952938881</v>
          </cell>
        </row>
        <row r="933">
          <cell r="A933" t="str">
            <v>SCOM-SHBIOBR</v>
          </cell>
          <cell r="B933" t="str">
            <v>VAR_fout</v>
          </cell>
          <cell r="C933" t="str">
            <v>SCOM-SHBIO</v>
          </cell>
        </row>
        <row r="934">
          <cell r="A934" t="str">
            <v>SCOM-SHBIOBR</v>
          </cell>
          <cell r="B934" t="str">
            <v>VAR_fin</v>
          </cell>
          <cell r="C934" t="str">
            <v>SBIO</v>
          </cell>
        </row>
        <row r="935">
          <cell r="A935" t="str">
            <v>SCOM-SHBIOBR</v>
          </cell>
          <cell r="B935" t="str">
            <v>VAR_ncap</v>
          </cell>
          <cell r="C935" t="str">
            <v>-</v>
          </cell>
          <cell r="H935">
            <v>2.8100932933582199E-5</v>
          </cell>
          <cell r="I935">
            <v>2.6348486705519101E-5</v>
          </cell>
          <cell r="J935">
            <v>1.33045172224796E-5</v>
          </cell>
        </row>
        <row r="936">
          <cell r="A936" t="str">
            <v>SCOM-SHBIOBR</v>
          </cell>
          <cell r="B936" t="str">
            <v>VAR_cap</v>
          </cell>
          <cell r="C936" t="str">
            <v>-</v>
          </cell>
          <cell r="H936">
            <v>2.7341008803759503E-2</v>
          </cell>
          <cell r="I936">
            <v>5.3839383431756937E-5</v>
          </cell>
          <cell r="J936">
            <v>4.3646875855784257E-5</v>
          </cell>
        </row>
        <row r="937">
          <cell r="A937" t="str">
            <v>RHES-SHDEM</v>
          </cell>
          <cell r="B937" t="str">
            <v>VAR_fout</v>
          </cell>
          <cell r="C937" t="str">
            <v>RHES-SHD</v>
          </cell>
          <cell r="H937">
            <v>53.38542269559801</v>
          </cell>
          <cell r="I937">
            <v>52.379004921136804</v>
          </cell>
          <cell r="J937">
            <v>50.896321558604306</v>
          </cell>
        </row>
        <row r="938">
          <cell r="A938" t="str">
            <v>RHES-SHDEM</v>
          </cell>
          <cell r="B938" t="str">
            <v>VAR_fin</v>
          </cell>
          <cell r="C938" t="str">
            <v>RHES-SHPLT</v>
          </cell>
          <cell r="H938">
            <v>7.9253904883817686E-2</v>
          </cell>
          <cell r="I938">
            <v>8.4405897260923138E-2</v>
          </cell>
          <cell r="J938">
            <v>7.3271358849956073E-2</v>
          </cell>
        </row>
        <row r="939">
          <cell r="A939" t="str">
            <v>RHES-SHDEM</v>
          </cell>
          <cell r="B939" t="str">
            <v>VAR_fin</v>
          </cell>
          <cell r="C939" t="str">
            <v>RHES-SHLTHC-NGA</v>
          </cell>
          <cell r="H939">
            <v>1.2004521371795089E-7</v>
          </cell>
          <cell r="I939">
            <v>1.2258961275497401E-6</v>
          </cell>
        </row>
        <row r="940">
          <cell r="A940" t="str">
            <v>RHES-SHDEM</v>
          </cell>
          <cell r="B940" t="str">
            <v>VAR_fin</v>
          </cell>
          <cell r="C940" t="str">
            <v>RHES-SHSOL</v>
          </cell>
          <cell r="H940">
            <v>2.6959256634210168E-2</v>
          </cell>
          <cell r="I940">
            <v>2.7431448829325029E-2</v>
          </cell>
          <cell r="J940">
            <v>2.672295715963019E-2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RHES-SHLTHC-WOD</v>
          </cell>
          <cell r="H941">
            <v>4.0021029991274794E-8</v>
          </cell>
          <cell r="I941">
            <v>1.1301751526293108E-6</v>
          </cell>
        </row>
        <row r="942">
          <cell r="A942" t="str">
            <v>RHES-SHDEM</v>
          </cell>
          <cell r="B942" t="str">
            <v>VAR_fin</v>
          </cell>
          <cell r="C942" t="str">
            <v>RHES-SHNGA</v>
          </cell>
          <cell r="H942">
            <v>4.5959535593363974</v>
          </cell>
          <cell r="I942">
            <v>2.1260324268350366</v>
          </cell>
          <cell r="J942">
            <v>0.86092626970700525</v>
          </cell>
        </row>
        <row r="943">
          <cell r="A943" t="str">
            <v>RHES-SHDEM</v>
          </cell>
          <cell r="B943" t="str">
            <v>VAR_fin</v>
          </cell>
          <cell r="C943" t="str">
            <v>RHES-SHNGAH</v>
          </cell>
          <cell r="H943">
            <v>1.3565521415883803</v>
          </cell>
          <cell r="I943">
            <v>1.2745859251908904</v>
          </cell>
          <cell r="J943">
            <v>1.0247483360116669</v>
          </cell>
        </row>
        <row r="944">
          <cell r="A944" t="str">
            <v>RHES-SHDEM</v>
          </cell>
          <cell r="B944" t="str">
            <v>VAR_fin</v>
          </cell>
          <cell r="C944" t="str">
            <v>RHES-SHCOA</v>
          </cell>
          <cell r="H944">
            <v>1.3008133202378442E-7</v>
          </cell>
          <cell r="I944">
            <v>1.0487145836988421E-7</v>
          </cell>
        </row>
        <row r="945">
          <cell r="A945" t="str">
            <v>RHES-SHDEM</v>
          </cell>
          <cell r="B945" t="str">
            <v>VAR_fin</v>
          </cell>
          <cell r="C945" t="str">
            <v>RHES-SHLFO</v>
          </cell>
          <cell r="H945">
            <v>3.8871918560932048</v>
          </cell>
          <cell r="I945">
            <v>1.2323711652279978</v>
          </cell>
          <cell r="J945">
            <v>0.12515614212457146</v>
          </cell>
        </row>
        <row r="946">
          <cell r="A946" t="str">
            <v>RHES-SHDEM</v>
          </cell>
          <cell r="B946" t="str">
            <v>VAR_fin</v>
          </cell>
          <cell r="C946" t="str">
            <v>RHES-SHCON</v>
          </cell>
          <cell r="H946">
            <v>6.6727935921104198</v>
          </cell>
          <cell r="I946">
            <v>8.6971090776325415</v>
          </cell>
          <cell r="J946">
            <v>12.461404141423225</v>
          </cell>
        </row>
        <row r="947">
          <cell r="A947" t="str">
            <v>RHES-SHDEM</v>
          </cell>
          <cell r="B947" t="str">
            <v>VAR_fin</v>
          </cell>
          <cell r="C947" t="str">
            <v>RHES-SHWOD</v>
          </cell>
          <cell r="H947">
            <v>3.5033159117357382</v>
          </cell>
          <cell r="I947">
            <v>2.7493145628351456</v>
          </cell>
          <cell r="J947">
            <v>1.4792127784496374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RHES-SHLTHD</v>
          </cell>
          <cell r="H948">
            <v>1.8782775962764164</v>
          </cell>
          <cell r="I948">
            <v>1.9574329101536647</v>
          </cell>
          <cell r="J948">
            <v>1.8236569048032607</v>
          </cell>
        </row>
        <row r="949">
          <cell r="A949" t="str">
            <v>RHES-SHDEM</v>
          </cell>
          <cell r="B949" t="str">
            <v>VAR_fin</v>
          </cell>
          <cell r="C949" t="str">
            <v>RHES-SHELCB</v>
          </cell>
          <cell r="H949">
            <v>1.2207311183578588E-2</v>
          </cell>
          <cell r="I949">
            <v>2.3181102711543355E-3</v>
          </cell>
          <cell r="J949">
            <v>7.9192155967753176E-4</v>
          </cell>
        </row>
        <row r="950">
          <cell r="A950" t="str">
            <v>RHES-SHDEM</v>
          </cell>
          <cell r="B950" t="str">
            <v>VAR_fin</v>
          </cell>
          <cell r="C950" t="str">
            <v>RHES-SHELCH</v>
          </cell>
          <cell r="H950">
            <v>31.3733205980263</v>
          </cell>
          <cell r="I950">
            <v>34.228293270267905</v>
          </cell>
          <cell r="J950">
            <v>33.020656836650488</v>
          </cell>
        </row>
        <row r="951">
          <cell r="A951" t="str">
            <v>RHES-SHDEM</v>
          </cell>
          <cell r="B951" t="str">
            <v>VAR_fin</v>
          </cell>
          <cell r="C951" t="str">
            <v>RHES-SHNST</v>
          </cell>
          <cell r="H951">
            <v>1.301049239928386E-7</v>
          </cell>
          <cell r="I951">
            <v>7.2674675983922284E-7</v>
          </cell>
        </row>
        <row r="952">
          <cell r="A952" t="str">
            <v>D-RHEM_LTH_CHPNGA</v>
          </cell>
          <cell r="B952" t="str">
            <v>VAR_fout</v>
          </cell>
          <cell r="C952" t="str">
            <v>RHSA_LTH</v>
          </cell>
          <cell r="H952">
            <v>0.23234339267775339</v>
          </cell>
          <cell r="I952">
            <v>0.20775984047642829</v>
          </cell>
          <cell r="J952">
            <v>8.7235117147421799E-6</v>
          </cell>
        </row>
        <row r="953">
          <cell r="A953" t="str">
            <v>D-RHEM_LTH_CHPNGA</v>
          </cell>
          <cell r="B953" t="str">
            <v>VAR_fout</v>
          </cell>
          <cell r="C953" t="str">
            <v>RHEM_LTH_CHPNGA_ON</v>
          </cell>
          <cell r="H953">
            <v>0.2559857962008727</v>
          </cell>
          <cell r="I953">
            <v>4.7830998264172444E-3</v>
          </cell>
          <cell r="J953">
            <v>3.5298533108953025E-6</v>
          </cell>
        </row>
        <row r="954">
          <cell r="A954" t="str">
            <v>D-RHEM_LTH_CHPNGA</v>
          </cell>
          <cell r="B954" t="str">
            <v>VAR_fout</v>
          </cell>
          <cell r="C954" t="str">
            <v>LTH</v>
          </cell>
          <cell r="H954">
            <v>2.3048636487550445E-4</v>
          </cell>
          <cell r="I954">
            <v>1.4351301758310403E-4</v>
          </cell>
          <cell r="J954">
            <v>3.8933367090966089E-6</v>
          </cell>
        </row>
        <row r="955">
          <cell r="A955" t="str">
            <v>D-RHEM_LTH_CHPNGA</v>
          </cell>
          <cell r="B955" t="str">
            <v>VAR_fin</v>
          </cell>
          <cell r="C955" t="str">
            <v>RHEM_LTH_CHPNGA</v>
          </cell>
          <cell r="H955">
            <v>0.48855967524350175</v>
          </cell>
          <cell r="I955">
            <v>0.21268645332042854</v>
          </cell>
          <cell r="J955">
            <v>1.614670173473409E-5</v>
          </cell>
        </row>
        <row r="956">
          <cell r="A956" t="str">
            <v>RHEM-SHLTHCHPNGA</v>
          </cell>
          <cell r="B956" t="str">
            <v>VAR_fout</v>
          </cell>
          <cell r="C956" t="str">
            <v>RHEM-SHLTHC-NGA</v>
          </cell>
        </row>
        <row r="957">
          <cell r="A957" t="str">
            <v>RHEM-SHLTHCHPNGA</v>
          </cell>
          <cell r="B957" t="str">
            <v>VAR_fin</v>
          </cell>
          <cell r="C957" t="str">
            <v>RHEM_LTH_CHPNGA_ON</v>
          </cell>
        </row>
        <row r="958">
          <cell r="A958" t="str">
            <v>RHEM-SHLTHCHPNGA</v>
          </cell>
          <cell r="B958" t="str">
            <v>VAR_fin</v>
          </cell>
          <cell r="C958" t="str">
            <v>RHEMLTHCHPC</v>
          </cell>
        </row>
        <row r="959">
          <cell r="A959" t="str">
            <v>RHEM-SHLTHCHPNGA</v>
          </cell>
          <cell r="B959" t="str">
            <v>VAR_ncap</v>
          </cell>
          <cell r="C959" t="str">
            <v>-</v>
          </cell>
          <cell r="H959">
            <v>1.15979273605381E-2</v>
          </cell>
          <cell r="I959">
            <v>4.0244550048957198E-3</v>
          </cell>
          <cell r="J959">
            <v>1.2364708550211699E-8</v>
          </cell>
        </row>
        <row r="960">
          <cell r="A960" t="str">
            <v>RHEM-SHLTHCHPNGA</v>
          </cell>
          <cell r="B960" t="str">
            <v>VAR_cap</v>
          </cell>
          <cell r="C960" t="str">
            <v>-</v>
          </cell>
          <cell r="H960">
            <v>2.6757650310040682E-2</v>
          </cell>
          <cell r="I960">
            <v>1.08222468564214E-2</v>
          </cell>
        </row>
        <row r="961">
          <cell r="A961" t="str">
            <v>D-RHES_SOLELC</v>
          </cell>
          <cell r="B961" t="str">
            <v>VAR_fout</v>
          </cell>
          <cell r="C961" t="str">
            <v>RHES_ELC</v>
          </cell>
          <cell r="H961">
            <v>4.6101573635189004</v>
          </cell>
          <cell r="I961">
            <v>4.8938471314748595</v>
          </cell>
          <cell r="J961">
            <v>5.5117626129945272</v>
          </cell>
        </row>
        <row r="962">
          <cell r="A962" t="str">
            <v>D-RHES_SOLELC</v>
          </cell>
          <cell r="B962" t="str">
            <v>VAR_fout</v>
          </cell>
          <cell r="C962" t="str">
            <v>ELC5</v>
          </cell>
          <cell r="H962">
            <v>7.1510362077565584E-4</v>
          </cell>
          <cell r="I962">
            <v>5.502084119226653E-4</v>
          </cell>
          <cell r="J962">
            <v>1.0362983320847501E-3</v>
          </cell>
        </row>
        <row r="963">
          <cell r="A963" t="str">
            <v>D-RHES_SOLELC</v>
          </cell>
          <cell r="B963" t="str">
            <v>VAR_fin</v>
          </cell>
          <cell r="C963" t="str">
            <v>RHES_SOL_ELC</v>
          </cell>
          <cell r="H963">
            <v>4.610872467139675</v>
          </cell>
          <cell r="I963">
            <v>4.894397339886785</v>
          </cell>
          <cell r="J963">
            <v>5.5127989113266098</v>
          </cell>
        </row>
        <row r="964">
          <cell r="A964" t="str">
            <v>D-DH2</v>
          </cell>
          <cell r="B964" t="str">
            <v>VAR_fout</v>
          </cell>
          <cell r="C964" t="str">
            <v>H2</v>
          </cell>
          <cell r="H964">
            <v>1.2232337636183395E-5</v>
          </cell>
          <cell r="I964">
            <v>0.91690767255435712</v>
          </cell>
          <cell r="J964">
            <v>0.97014738927690558</v>
          </cell>
        </row>
        <row r="965">
          <cell r="A965" t="str">
            <v>D-DH2</v>
          </cell>
          <cell r="B965" t="str">
            <v>VAR_fin</v>
          </cell>
          <cell r="C965" t="str">
            <v>H2_E</v>
          </cell>
          <cell r="H965">
            <v>1.2355896602205449E-5</v>
          </cell>
          <cell r="I965">
            <v>0.92616936621652246</v>
          </cell>
          <cell r="J965">
            <v>0.97994685785546054</v>
          </cell>
        </row>
        <row r="966">
          <cell r="A966" t="str">
            <v>D-DH2</v>
          </cell>
          <cell r="B966" t="str">
            <v>VAR_ncap</v>
          </cell>
          <cell r="C966" t="str">
            <v>-</v>
          </cell>
          <cell r="H966">
            <v>3.2776264733642498E-5</v>
          </cell>
          <cell r="I966">
            <v>0.123086902924715</v>
          </cell>
          <cell r="J966">
            <v>7.1465763219552498E-3</v>
          </cell>
        </row>
        <row r="967">
          <cell r="A967" t="str">
            <v>D-DH2</v>
          </cell>
          <cell r="B967" t="str">
            <v>VAR_cap</v>
          </cell>
          <cell r="C967" t="str">
            <v>-</v>
          </cell>
          <cell r="H967">
            <v>5.8736982408380003E-5</v>
          </cell>
          <cell r="I967">
            <v>0.123145639907124</v>
          </cell>
          <cell r="J967">
            <v>0.13029221622907899</v>
          </cell>
        </row>
        <row r="968">
          <cell r="A968" t="str">
            <v>ITOT-SWHHFOBR</v>
          </cell>
          <cell r="B968" t="str">
            <v>VAR_fout</v>
          </cell>
          <cell r="C968" t="str">
            <v>ITOT-SWH</v>
          </cell>
          <cell r="H968">
            <v>3.7705484468379821E-4</v>
          </cell>
          <cell r="I968">
            <v>1.6234074415227486E-3</v>
          </cell>
        </row>
        <row r="969">
          <cell r="A969" t="str">
            <v>ITOT-SWHHFOBR</v>
          </cell>
          <cell r="B969" t="str">
            <v>VAR_fout</v>
          </cell>
          <cell r="C969" t="str">
            <v>CO2_I</v>
          </cell>
          <cell r="H969">
            <v>4.1591151280368797E-2</v>
          </cell>
          <cell r="I969">
            <v>0.177214067690593</v>
          </cell>
        </row>
        <row r="970">
          <cell r="A970" t="str">
            <v>ITOT-SWHHFOBR</v>
          </cell>
          <cell r="B970" t="str">
            <v>VAR_fin</v>
          </cell>
          <cell r="C970" t="str">
            <v>IHFO</v>
          </cell>
          <cell r="H970">
            <v>5.4014482182297154E-4</v>
          </cell>
          <cell r="I970">
            <v>2.3014813985791248E-3</v>
          </cell>
        </row>
        <row r="971">
          <cell r="A971" t="str">
            <v>ITOT-SWHHFOBR</v>
          </cell>
          <cell r="B971" t="str">
            <v>VAR_ncap</v>
          </cell>
          <cell r="C971" t="str">
            <v>-</v>
          </cell>
          <cell r="H971">
            <v>3.32305721409187E-5</v>
          </cell>
          <cell r="I971">
            <v>1.20997760871849E-4</v>
          </cell>
          <cell r="J971">
            <v>1.06761087398131E-6</v>
          </cell>
        </row>
        <row r="972">
          <cell r="A972" t="str">
            <v>ITOT-SWHHFOBR</v>
          </cell>
          <cell r="B972" t="str">
            <v>VAR_cap</v>
          </cell>
          <cell r="C972" t="str">
            <v>-</v>
          </cell>
          <cell r="H972">
            <v>3.568133032484308E-5</v>
          </cell>
          <cell r="I972">
            <v>1.5193015683347621E-4</v>
          </cell>
          <cell r="J972">
            <v>-1.9162358164829992E-6</v>
          </cell>
        </row>
        <row r="973">
          <cell r="A973" t="str">
            <v>RHSA-WHSTG-ELCHP</v>
          </cell>
          <cell r="B973" t="str">
            <v>VAR_fout</v>
          </cell>
          <cell r="C973" t="str">
            <v>AUX_RHSA-WHSTG-ELCHP_OUT</v>
          </cell>
          <cell r="H973">
            <v>2.0851214980874708</v>
          </cell>
          <cell r="I973">
            <v>2.9148847511883962</v>
          </cell>
          <cell r="J973">
            <v>3.3378691050904594</v>
          </cell>
        </row>
        <row r="974">
          <cell r="A974" t="str">
            <v>RHSA-WHSTG-ELCHP</v>
          </cell>
          <cell r="B974" t="str">
            <v>VAR_fout</v>
          </cell>
          <cell r="C974" t="str">
            <v>RHSA-WHAELCH</v>
          </cell>
          <cell r="H974">
            <v>2.0830384596278422</v>
          </cell>
          <cell r="I974">
            <v>2.9119727784099871</v>
          </cell>
          <cell r="J974">
            <v>3.3345345705199412</v>
          </cell>
        </row>
        <row r="975">
          <cell r="A975" t="str">
            <v>RHSA-WHSTG-ELCHP</v>
          </cell>
          <cell r="B975" t="str">
            <v>VAR_fin</v>
          </cell>
          <cell r="C975" t="str">
            <v>RHSA-WHAELCH</v>
          </cell>
          <cell r="H975">
            <v>2.0830397988225573</v>
          </cell>
          <cell r="I975">
            <v>2.9119745026111072</v>
          </cell>
          <cell r="J975">
            <v>3.3345357308213588</v>
          </cell>
        </row>
        <row r="976">
          <cell r="A976" t="str">
            <v>RHSA-WHSTG-ELCHP</v>
          </cell>
          <cell r="B976" t="str">
            <v>VAR_ncap</v>
          </cell>
          <cell r="C976" t="str">
            <v>-</v>
          </cell>
          <cell r="H976">
            <v>9.0453777495674001E-2</v>
          </cell>
          <cell r="I976">
            <v>0.105645886154005</v>
          </cell>
          <cell r="J976">
            <v>0.17797720618551299</v>
          </cell>
        </row>
        <row r="977">
          <cell r="A977" t="str">
            <v>RHSA-WHSTG-ELCHP</v>
          </cell>
          <cell r="B977" t="str">
            <v>VAR_cap</v>
          </cell>
          <cell r="C977" t="str">
            <v>-</v>
          </cell>
          <cell r="H977">
            <v>0.19525065585444912</v>
          </cell>
          <cell r="I977">
            <v>0.24679887819280813</v>
          </cell>
          <cell r="J977">
            <v>0.29287289175615139</v>
          </cell>
        </row>
        <row r="978">
          <cell r="A978" t="str">
            <v>RES-ELCSPECADV</v>
          </cell>
          <cell r="B978" t="str">
            <v>VAR_fout</v>
          </cell>
          <cell r="C978" t="str">
            <v>RHSA-ELS</v>
          </cell>
          <cell r="H978">
            <v>13.763541194140762</v>
          </cell>
          <cell r="I978">
            <v>18.421334597835063</v>
          </cell>
          <cell r="J978">
            <v>27.71006335586771</v>
          </cell>
        </row>
        <row r="979">
          <cell r="A979" t="str">
            <v>RES-ELCSPECADV</v>
          </cell>
          <cell r="B979" t="str">
            <v>VAR_fin</v>
          </cell>
          <cell r="C979" t="str">
            <v>RHSA_ELC</v>
          </cell>
          <cell r="H979">
            <v>9.1756941294271694</v>
          </cell>
          <cell r="I979">
            <v>12.280889731890042</v>
          </cell>
          <cell r="J979">
            <v>18.473375570578472</v>
          </cell>
        </row>
        <row r="980">
          <cell r="A980" t="str">
            <v>RES-ELCSPECADV</v>
          </cell>
          <cell r="B980" t="str">
            <v>VAR_ncap</v>
          </cell>
          <cell r="C980" t="str">
            <v>-</v>
          </cell>
          <cell r="H980">
            <v>0.472129466143548</v>
          </cell>
          <cell r="I980">
            <v>0.49232565505949699</v>
          </cell>
          <cell r="J980">
            <v>1.32300127301061</v>
          </cell>
        </row>
        <row r="981">
          <cell r="A981" t="str">
            <v>RES-ELCSPECADV</v>
          </cell>
          <cell r="B981" t="str">
            <v>VAR_cap</v>
          </cell>
          <cell r="C981" t="str">
            <v>-</v>
          </cell>
          <cell r="H981">
            <v>1.4547967904512027</v>
          </cell>
          <cell r="I981">
            <v>1.9471222431855568</v>
          </cell>
          <cell r="J981">
            <v>2.9289343708967555</v>
          </cell>
        </row>
        <row r="982">
          <cell r="A982" t="str">
            <v>ITOT-SWHSTG-ELCHP</v>
          </cell>
          <cell r="B982" t="str">
            <v>VAR_fout</v>
          </cell>
          <cell r="C982" t="str">
            <v>ITOT-SWHAELCH</v>
          </cell>
          <cell r="H982">
            <v>7.0813883307228528E-4</v>
          </cell>
          <cell r="I982">
            <v>1.1209010675800142E-3</v>
          </cell>
          <cell r="J982">
            <v>0.28920966345620958</v>
          </cell>
        </row>
        <row r="983">
          <cell r="A983" t="str">
            <v>ITOT-SWHSTG-ELCHP</v>
          </cell>
          <cell r="B983" t="str">
            <v>VAR_fin</v>
          </cell>
          <cell r="C983" t="str">
            <v>ITOT-SWHAELCH</v>
          </cell>
          <cell r="H983">
            <v>8.8255554361637526E-4</v>
          </cell>
          <cell r="I983">
            <v>1.3431183454685699E-3</v>
          </cell>
          <cell r="J983">
            <v>0.32137746644537207</v>
          </cell>
        </row>
        <row r="984">
          <cell r="A984" t="str">
            <v>ITOT-SWHSTG-ELCHP</v>
          </cell>
          <cell r="B984" t="str">
            <v>VAR_ncap</v>
          </cell>
          <cell r="C984" t="str">
            <v>-</v>
          </cell>
          <cell r="H984">
            <v>4.2172200408963099E-2</v>
          </cell>
          <cell r="I984">
            <v>2.7578042150108301E-2</v>
          </cell>
          <cell r="J984">
            <v>6.9900107898397706E-2</v>
          </cell>
        </row>
        <row r="985">
          <cell r="A985" t="str">
            <v>ITOT-SWHSTG-ELCHP</v>
          </cell>
          <cell r="B985" t="str">
            <v>VAR_cap</v>
          </cell>
          <cell r="C985" t="str">
            <v>-</v>
          </cell>
          <cell r="H985">
            <v>0.10720224758668745</v>
          </cell>
          <cell r="I985">
            <v>0.11010463800359362</v>
          </cell>
          <cell r="J985">
            <v>0.107717595148432</v>
          </cell>
        </row>
        <row r="986">
          <cell r="A986" t="str">
            <v>D-RHNS_LTH_CHPWOD</v>
          </cell>
          <cell r="B986" t="str">
            <v>VAR_fout</v>
          </cell>
          <cell r="C986" t="str">
            <v>RHNS_LTH_CHPWOD_ON</v>
          </cell>
          <cell r="H986">
            <v>3.8823758997207162E-4</v>
          </cell>
          <cell r="I986">
            <v>1.7064257956511395E-3</v>
          </cell>
        </row>
        <row r="987">
          <cell r="A987" t="str">
            <v>D-RHNS_LTH_CHPWOD</v>
          </cell>
          <cell r="B987" t="str">
            <v>VAR_fout</v>
          </cell>
          <cell r="C987" t="str">
            <v>RHSA_LTH</v>
          </cell>
          <cell r="H987">
            <v>3.1898120313925294E-3</v>
          </cell>
          <cell r="I987">
            <v>1.8410485254906372E-3</v>
          </cell>
          <cell r="J987">
            <v>1.0141374717659612E-3</v>
          </cell>
        </row>
        <row r="988">
          <cell r="A988" t="str">
            <v>D-RHNS_LTH_CHPWOD</v>
          </cell>
          <cell r="B988" t="str">
            <v>VAR_fout</v>
          </cell>
          <cell r="C988" t="str">
            <v>LTH</v>
          </cell>
          <cell r="H988">
            <v>2.4935027504330218E-6</v>
          </cell>
          <cell r="I988">
            <v>4.0729767116945108E-6</v>
          </cell>
          <cell r="J988">
            <v>6.5948137093441177E-7</v>
          </cell>
        </row>
        <row r="989">
          <cell r="A989" t="str">
            <v>D-RHNS_LTH_CHPWOD</v>
          </cell>
          <cell r="B989" t="str">
            <v>VAR_fin</v>
          </cell>
          <cell r="C989" t="str">
            <v>RHNS_LTH_CHPWOD</v>
          </cell>
          <cell r="H989">
            <v>3.5814657781945741E-3</v>
          </cell>
          <cell r="I989">
            <v>3.5520500925555272E-3</v>
          </cell>
          <cell r="J989">
            <v>1.0161377198620698E-3</v>
          </cell>
        </row>
        <row r="990">
          <cell r="A990" t="str">
            <v>D-SBIO</v>
          </cell>
          <cell r="B990" t="str">
            <v>VAR_fout</v>
          </cell>
          <cell r="C990" t="str">
            <v>SBIO</v>
          </cell>
          <cell r="H990">
            <v>2.9902820040172191</v>
          </cell>
          <cell r="I990">
            <v>2.9557921181245734</v>
          </cell>
          <cell r="J990">
            <v>2.8715708729096066</v>
          </cell>
        </row>
        <row r="991">
          <cell r="A991" t="str">
            <v>D-SBIO</v>
          </cell>
          <cell r="B991" t="str">
            <v>VAR_fin</v>
          </cell>
          <cell r="C991" t="str">
            <v>BIO</v>
          </cell>
          <cell r="H991">
            <v>2.9902820040172191</v>
          </cell>
          <cell r="I991">
            <v>2.9557921181245734</v>
          </cell>
          <cell r="J991">
            <v>2.8715708729096066</v>
          </cell>
        </row>
        <row r="992">
          <cell r="A992" t="str">
            <v>RHEM-SHDEM</v>
          </cell>
          <cell r="B992" t="str">
            <v>VAR_fout</v>
          </cell>
          <cell r="C992" t="str">
            <v>RHEM-SHD</v>
          </cell>
          <cell r="H992">
            <v>61.454913333249934</v>
          </cell>
          <cell r="I992">
            <v>59.520483790278192</v>
          </cell>
          <cell r="J992">
            <v>56.661189855582805</v>
          </cell>
        </row>
        <row r="993">
          <cell r="A993" t="str">
            <v>RHEM-SHDEM</v>
          </cell>
          <cell r="B993" t="str">
            <v>VAR_fin</v>
          </cell>
          <cell r="C993" t="str">
            <v>RHEM-SHNST</v>
          </cell>
          <cell r="H993">
            <v>1.5370570323881383E-6</v>
          </cell>
          <cell r="I993">
            <v>3.7694320531990004E-8</v>
          </cell>
        </row>
        <row r="994">
          <cell r="A994" t="str">
            <v>RHEM-SHDEM</v>
          </cell>
          <cell r="B994" t="str">
            <v>VAR_fin</v>
          </cell>
          <cell r="C994" t="str">
            <v>RHEM-SHPLT</v>
          </cell>
          <cell r="H994">
            <v>0.51753314223433611</v>
          </cell>
          <cell r="I994">
            <v>0.53429630861285793</v>
          </cell>
          <cell r="J994">
            <v>0.42036723929905978</v>
          </cell>
        </row>
        <row r="995">
          <cell r="A995" t="str">
            <v>RHEM-SHDEM</v>
          </cell>
          <cell r="B995" t="str">
            <v>VAR_fin</v>
          </cell>
          <cell r="C995" t="str">
            <v>RHEM-SHNGAH</v>
          </cell>
          <cell r="H995">
            <v>3.8336058479893276</v>
          </cell>
          <cell r="I995">
            <v>4.696552824285618</v>
          </cell>
          <cell r="J995">
            <v>4.0956658355709248</v>
          </cell>
        </row>
        <row r="996">
          <cell r="A996" t="str">
            <v>RHEM-SHDEM</v>
          </cell>
          <cell r="B996" t="str">
            <v>VAR_fin</v>
          </cell>
          <cell r="C996" t="str">
            <v>RHEM-SHLTHC-WOD</v>
          </cell>
          <cell r="H996">
            <v>1.4471120897617696E-6</v>
          </cell>
          <cell r="I996">
            <v>4.5243017233795061E-7</v>
          </cell>
        </row>
        <row r="997">
          <cell r="A997" t="str">
            <v>RHEM-SHDEM</v>
          </cell>
          <cell r="B997" t="str">
            <v>VAR_fin</v>
          </cell>
          <cell r="C997" t="str">
            <v>RHEM-SHSOL</v>
          </cell>
          <cell r="H997">
            <v>1.363195632628424E-2</v>
          </cell>
          <cell r="I997">
            <v>1.440395777360569E-2</v>
          </cell>
          <cell r="J997">
            <v>1.3764595422497467E-2</v>
          </cell>
        </row>
        <row r="998">
          <cell r="A998" t="str">
            <v>RHEM-SHDEM</v>
          </cell>
          <cell r="B998" t="str">
            <v>VAR_fin</v>
          </cell>
          <cell r="C998" t="str">
            <v>RHEM-SHLTHD</v>
          </cell>
          <cell r="H998">
            <v>5.2205808824579929</v>
          </cell>
          <cell r="I998">
            <v>5.2936026279229837</v>
          </cell>
          <cell r="J998">
            <v>4.7178459321049164</v>
          </cell>
        </row>
        <row r="999">
          <cell r="A999" t="str">
            <v>RHEM-SHDEM</v>
          </cell>
          <cell r="B999" t="str">
            <v>VAR_fin</v>
          </cell>
          <cell r="C999" t="str">
            <v>RHEM-SHNGA</v>
          </cell>
          <cell r="H999">
            <v>8.6764405055437557</v>
          </cell>
          <cell r="I999">
            <v>3.129755122117011</v>
          </cell>
          <cell r="J999">
            <v>0.98244215649408428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RHEM-SHELCB</v>
          </cell>
          <cell r="H1000">
            <v>3.86404056705302E-3</v>
          </cell>
          <cell r="I1000">
            <v>3.0328672483407844E-3</v>
          </cell>
          <cell r="J1000">
            <v>2.1863793072113952E-3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RHEM-SHELCH</v>
          </cell>
          <cell r="H1001">
            <v>24.008889936272521</v>
          </cell>
          <cell r="I1001">
            <v>29.038480853580594</v>
          </cell>
          <cell r="J1001">
            <v>28.568525642560676</v>
          </cell>
        </row>
        <row r="1002">
          <cell r="A1002" t="str">
            <v>RHEM-SHDEM</v>
          </cell>
          <cell r="B1002" t="str">
            <v>VAR_fin</v>
          </cell>
          <cell r="C1002" t="str">
            <v>RHEM-SHLFO</v>
          </cell>
          <cell r="H1002">
            <v>6.5463244195310359</v>
          </cell>
          <cell r="I1002">
            <v>2.2989548206951511</v>
          </cell>
          <cell r="J1002">
            <v>0.21564736308145549</v>
          </cell>
        </row>
        <row r="1003">
          <cell r="A1003" t="str">
            <v>RHEM-SHDEM</v>
          </cell>
          <cell r="B1003" t="str">
            <v>VAR_fin</v>
          </cell>
          <cell r="C1003" t="str">
            <v>RHEM-SHCON</v>
          </cell>
          <cell r="H1003">
            <v>8.3984436823833217</v>
          </cell>
          <cell r="I1003">
            <v>10.87031780112097</v>
          </cell>
          <cell r="J1003">
            <v>15.425221919392254</v>
          </cell>
        </row>
        <row r="1004">
          <cell r="A1004" t="str">
            <v>RHEM-SHDEM</v>
          </cell>
          <cell r="B1004" t="str">
            <v>VAR_fin</v>
          </cell>
          <cell r="C1004" t="str">
            <v>RHEM-SHWOD</v>
          </cell>
          <cell r="H1004">
            <v>4.2360107987289073</v>
          </cell>
          <cell r="I1004">
            <v>3.6413856181337692</v>
          </cell>
          <cell r="J1004">
            <v>2.2197557679233926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RHEM-SHLTHC-NGA</v>
          </cell>
          <cell r="H1005">
            <v>1.1340478989450674E-6</v>
          </cell>
          <cell r="I1005">
            <v>2.9735031522416153E-6</v>
          </cell>
        </row>
        <row r="1006">
          <cell r="A1006" t="str">
            <v>ITOT-SWHH2BR</v>
          </cell>
          <cell r="B1006" t="str">
            <v>VAR_fout</v>
          </cell>
          <cell r="C1006" t="str">
            <v>ITOT-SWH</v>
          </cell>
          <cell r="H1006">
            <v>5.6390019199855272</v>
          </cell>
          <cell r="I1006">
            <v>7.7420639155589468</v>
          </cell>
          <cell r="J1006">
            <v>13.791460001802001</v>
          </cell>
        </row>
        <row r="1007">
          <cell r="A1007" t="str">
            <v>ITOT-SWHH2BR</v>
          </cell>
          <cell r="B1007" t="str">
            <v>VAR_fin</v>
          </cell>
          <cell r="C1007" t="str">
            <v>IH2</v>
          </cell>
          <cell r="H1007">
            <v>6.9896471522674881</v>
          </cell>
          <cell r="I1007">
            <v>9.5755233671713391</v>
          </cell>
          <cell r="J1007">
            <v>16.983519883198241</v>
          </cell>
        </row>
        <row r="1008">
          <cell r="A1008" t="str">
            <v>ITOT-SWHH2BR</v>
          </cell>
          <cell r="B1008" t="str">
            <v>VAR_ncap</v>
          </cell>
          <cell r="C1008" t="str">
            <v>-</v>
          </cell>
          <cell r="H1008">
            <v>0.44719481636344799</v>
          </cell>
          <cell r="I1008">
            <v>0.169602348453601</v>
          </cell>
          <cell r="J1008">
            <v>0.73041487289793905</v>
          </cell>
        </row>
        <row r="1009">
          <cell r="A1009" t="str">
            <v>ITOT-SWHH2BR</v>
          </cell>
          <cell r="B1009" t="str">
            <v>VAR_cap</v>
          </cell>
          <cell r="C1009" t="str">
            <v>-</v>
          </cell>
          <cell r="H1009">
            <v>0.4485820831726845</v>
          </cell>
          <cell r="I1009">
            <v>0.61773612699118174</v>
          </cell>
          <cell r="J1009">
            <v>1.0426540017022696</v>
          </cell>
        </row>
        <row r="1010">
          <cell r="A1010" t="str">
            <v>RHNS-SHSTG-ELC</v>
          </cell>
          <cell r="B1010" t="str">
            <v>VAR_fout</v>
          </cell>
          <cell r="C1010" t="str">
            <v>RHNS-SHAELCB</v>
          </cell>
          <cell r="H1010">
            <v>1.1166153718917484E-3</v>
          </cell>
          <cell r="I1010">
            <v>1.4483627744347315E-3</v>
          </cell>
          <cell r="J1010">
            <v>6.6144180827158391E-4</v>
          </cell>
        </row>
        <row r="1011">
          <cell r="A1011" t="str">
            <v>RHNS-SHSTG-ELC</v>
          </cell>
          <cell r="B1011" t="str">
            <v>VAR_fout</v>
          </cell>
          <cell r="C1011" t="str">
            <v>AUX_RHNS-SHSTG-ELC_OUT</v>
          </cell>
          <cell r="H1011">
            <v>1.1177319872636405E-3</v>
          </cell>
          <cell r="I1011">
            <v>1.4498111372091664E-3</v>
          </cell>
          <cell r="J1011">
            <v>6.621032500798553E-4</v>
          </cell>
        </row>
        <row r="1012">
          <cell r="A1012" t="str">
            <v>RHNS-SHSTG-ELC</v>
          </cell>
          <cell r="B1012" t="str">
            <v>VAR_fin</v>
          </cell>
          <cell r="C1012" t="str">
            <v>RHNS-SHAELCB</v>
          </cell>
          <cell r="H1012">
            <v>1.1150958457291635E-3</v>
          </cell>
          <cell r="I1012">
            <v>1.44798797411423E-3</v>
          </cell>
          <cell r="J1012">
            <v>6.6148101580380987E-4</v>
          </cell>
        </row>
        <row r="1013">
          <cell r="A1013" t="str">
            <v>RHNS-SHSTG-ELC</v>
          </cell>
          <cell r="B1013" t="str">
            <v>VAR_ncap</v>
          </cell>
          <cell r="C1013" t="str">
            <v>-</v>
          </cell>
          <cell r="H1013">
            <v>3.35125165648353E-5</v>
          </cell>
          <cell r="I1013">
            <v>1.3496721158236699E-4</v>
          </cell>
          <cell r="J1013">
            <v>2.4258931099417399E-5</v>
          </cell>
        </row>
        <row r="1014">
          <cell r="A1014" t="str">
            <v>RHNS-SHSTG-ELC</v>
          </cell>
          <cell r="B1014" t="str">
            <v>VAR_cap</v>
          </cell>
          <cell r="C1014" t="str">
            <v>-</v>
          </cell>
          <cell r="H1014">
            <v>7.3783979731083E-4</v>
          </cell>
          <cell r="I1014">
            <v>2.783402334714682E-4</v>
          </cell>
          <cell r="J1014">
            <v>1.176563851288822E-4</v>
          </cell>
        </row>
        <row r="1015">
          <cell r="A1015" t="str">
            <v>RHES-SHCOABR</v>
          </cell>
          <cell r="B1015" t="str">
            <v>VAR_fout</v>
          </cell>
          <cell r="C1015" t="str">
            <v>CO2_R</v>
          </cell>
        </row>
        <row r="1016">
          <cell r="A1016" t="str">
            <v>RHES-SHCOABR</v>
          </cell>
          <cell r="B1016" t="str">
            <v>VAR_fout</v>
          </cell>
          <cell r="C1016" t="str">
            <v>RHES-SHCOA</v>
          </cell>
        </row>
        <row r="1017">
          <cell r="A1017" t="str">
            <v>RHES-SHCOABR</v>
          </cell>
          <cell r="B1017" t="str">
            <v>VAR_fin</v>
          </cell>
          <cell r="C1017" t="str">
            <v>RCOA</v>
          </cell>
        </row>
        <row r="1018">
          <cell r="A1018" t="str">
            <v>RHES-SHCOABR</v>
          </cell>
          <cell r="B1018" t="str">
            <v>VAR_cap</v>
          </cell>
          <cell r="C1018" t="str">
            <v>-</v>
          </cell>
          <cell r="H1018">
            <v>1.5477346418798447E-6</v>
          </cell>
        </row>
        <row r="1019">
          <cell r="A1019" t="str">
            <v>D-INGA</v>
          </cell>
          <cell r="B1019" t="str">
            <v>VAR_fout</v>
          </cell>
          <cell r="C1019" t="str">
            <v>CO2</v>
          </cell>
          <cell r="H1019">
            <v>579.59181461931701</v>
          </cell>
          <cell r="I1019">
            <v>373.431493375093</v>
          </cell>
          <cell r="J1019">
            <v>2.1127145724185E-2</v>
          </cell>
        </row>
        <row r="1020">
          <cell r="A1020" t="str">
            <v>D-INGA</v>
          </cell>
          <cell r="B1020" t="str">
            <v>VAR_fout</v>
          </cell>
          <cell r="C1020" t="str">
            <v>IH2</v>
          </cell>
          <cell r="H1020">
            <v>0.38279572770439224</v>
          </cell>
          <cell r="I1020">
            <v>0.28591475058406557</v>
          </cell>
          <cell r="J1020">
            <v>8.5010535855559663E-2</v>
          </cell>
        </row>
        <row r="1021">
          <cell r="A1021" t="str">
            <v>D-INGA</v>
          </cell>
          <cell r="B1021" t="str">
            <v>VAR_fout</v>
          </cell>
          <cell r="C1021" t="str">
            <v>INGA</v>
          </cell>
          <cell r="H1021">
            <v>12.993509467738402</v>
          </cell>
          <cell r="I1021">
            <v>9.3501157618188717</v>
          </cell>
          <cell r="J1021">
            <v>2.7510776705908873</v>
          </cell>
        </row>
        <row r="1022">
          <cell r="A1022" t="str">
            <v>D-INGA</v>
          </cell>
          <cell r="B1022" t="str">
            <v>VAR_fin</v>
          </cell>
          <cell r="C1022" t="str">
            <v>NGA</v>
          </cell>
          <cell r="H1022">
            <v>10.276450613817683</v>
          </cell>
          <cell r="I1022">
            <v>6.6211257690619369</v>
          </cell>
          <cell r="J1022">
            <v>3.745947823437067E-4</v>
          </cell>
        </row>
        <row r="1023">
          <cell r="A1023" t="str">
            <v>D-INGA</v>
          </cell>
          <cell r="B1023" t="str">
            <v>VAR_fin</v>
          </cell>
          <cell r="C1023" t="str">
            <v>BNGA</v>
          </cell>
          <cell r="H1023">
            <v>2.7598398051972581</v>
          </cell>
          <cell r="I1023">
            <v>2.7598409430056039</v>
          </cell>
          <cell r="J1023">
            <v>2.7598429483506042</v>
          </cell>
        </row>
        <row r="1024">
          <cell r="A1024" t="str">
            <v>D-INGA</v>
          </cell>
          <cell r="B1024" t="str">
            <v>VAR_fin</v>
          </cell>
          <cell r="C1024" t="str">
            <v>H2</v>
          </cell>
          <cell r="H1024">
            <v>0.38279517288004872</v>
          </cell>
          <cell r="I1024">
            <v>0.28591475058392463</v>
          </cell>
          <cell r="J1024">
            <v>8.5005491379132589E-2</v>
          </cell>
        </row>
        <row r="1025">
          <cell r="A1025" t="str">
            <v>D-INGA</v>
          </cell>
          <cell r="B1025" t="str">
            <v>VAR_ncap</v>
          </cell>
          <cell r="C1025" t="str">
            <v>-</v>
          </cell>
          <cell r="H1025">
            <v>8.8900400826438504E-7</v>
          </cell>
          <cell r="I1025">
            <v>1.4207084301311E-6</v>
          </cell>
          <cell r="J1025">
            <v>4.36866673789399E-6</v>
          </cell>
        </row>
        <row r="1026">
          <cell r="A1026" t="str">
            <v>D-INGA</v>
          </cell>
          <cell r="B1026" t="str">
            <v>VAR_cap</v>
          </cell>
          <cell r="C1026" t="str">
            <v>-</v>
          </cell>
          <cell r="H1026">
            <v>1.9844861497790611</v>
          </cell>
          <cell r="I1026">
            <v>1.9844875704874914</v>
          </cell>
          <cell r="J1026">
            <v>1.0954680063340492</v>
          </cell>
        </row>
        <row r="1027">
          <cell r="A1027" t="str">
            <v>RHEM-SHNGAHP</v>
          </cell>
          <cell r="B1027" t="str">
            <v>VAR_fout</v>
          </cell>
          <cell r="C1027" t="str">
            <v>CO2_R</v>
          </cell>
          <cell r="H1027">
            <v>108.365504169875</v>
          </cell>
          <cell r="I1027">
            <v>130.36228074855899</v>
          </cell>
          <cell r="J1027">
            <v>108.710892349552</v>
          </cell>
        </row>
        <row r="1028">
          <cell r="A1028" t="str">
            <v>RHEM-SHNGAHP</v>
          </cell>
          <cell r="B1028" t="str">
            <v>VAR_fout</v>
          </cell>
          <cell r="C1028" t="str">
            <v>RHEM-SHANGAH</v>
          </cell>
          <cell r="H1028">
            <v>3.8336164057824491</v>
          </cell>
          <cell r="I1028">
            <v>4.696559539164447</v>
          </cell>
          <cell r="J1028">
            <v>4.0956720725885036</v>
          </cell>
        </row>
        <row r="1029">
          <cell r="A1029" t="str">
            <v>RHEM-SHNGAHP</v>
          </cell>
          <cell r="B1029" t="str">
            <v>VAR_fin</v>
          </cell>
          <cell r="C1029" t="str">
            <v>RHEMELCHPC</v>
          </cell>
          <cell r="H1029">
            <v>3.8336164057824491</v>
          </cell>
          <cell r="I1029">
            <v>4.696559539164447</v>
          </cell>
          <cell r="J1029">
            <v>4.0956720725885036</v>
          </cell>
        </row>
        <row r="1030">
          <cell r="A1030" t="str">
            <v>RHEM-SHNGAHP</v>
          </cell>
          <cell r="B1030" t="str">
            <v>VAR_fin</v>
          </cell>
          <cell r="C1030" t="str">
            <v>RNGA</v>
          </cell>
          <cell r="H1030">
            <v>1.9213741874091264</v>
          </cell>
          <cell r="I1030">
            <v>2.3113879565347277</v>
          </cell>
          <cell r="J1030">
            <v>1.9274980913041133</v>
          </cell>
        </row>
        <row r="1031">
          <cell r="A1031" t="str">
            <v>RHEM-SHNGAHP</v>
          </cell>
          <cell r="B1031" t="str">
            <v>VAR_ncap</v>
          </cell>
          <cell r="C1031" t="str">
            <v>-</v>
          </cell>
          <cell r="H1031">
            <v>5.1927573645830803E-2</v>
          </cell>
          <cell r="I1031">
            <v>0.19433611134432599</v>
          </cell>
          <cell r="J1031">
            <v>0.12673009571954499</v>
          </cell>
        </row>
        <row r="1032">
          <cell r="A1032" t="str">
            <v>RHEM-SHNGAHP</v>
          </cell>
          <cell r="B1032" t="str">
            <v>VAR_cap</v>
          </cell>
          <cell r="C1032" t="str">
            <v>-</v>
          </cell>
          <cell r="H1032">
            <v>0.27071985439681157</v>
          </cell>
          <cell r="I1032">
            <v>0.33165517442335607</v>
          </cell>
          <cell r="J1032">
            <v>0.28973132581834277</v>
          </cell>
        </row>
        <row r="1033">
          <cell r="A1033" t="str">
            <v>D-SPLT</v>
          </cell>
          <cell r="B1033" t="str">
            <v>VAR_fout</v>
          </cell>
          <cell r="C1033" t="str">
            <v>SPLT</v>
          </cell>
          <cell r="H1033">
            <v>1.3468856109455358</v>
          </cell>
          <cell r="I1033">
            <v>1.4543391200191005</v>
          </cell>
          <cell r="J1033">
            <v>1.2189275656071166</v>
          </cell>
        </row>
        <row r="1034">
          <cell r="A1034" t="str">
            <v>D-SPLT</v>
          </cell>
          <cell r="B1034" t="str">
            <v>VAR_fin</v>
          </cell>
          <cell r="C1034" t="str">
            <v>PLT</v>
          </cell>
          <cell r="H1034">
            <v>1.3468856109455358</v>
          </cell>
          <cell r="I1034">
            <v>1.4543391200191005</v>
          </cell>
          <cell r="J1034">
            <v>1.2189275656071166</v>
          </cell>
        </row>
        <row r="1035">
          <cell r="A1035" t="str">
            <v>RHES-SHCONBR</v>
          </cell>
          <cell r="B1035" t="str">
            <v>VAR_fout</v>
          </cell>
          <cell r="C1035" t="str">
            <v>RHES-SHCON</v>
          </cell>
          <cell r="H1035">
            <v>6.3471977405948714E-5</v>
          </cell>
          <cell r="I1035">
            <v>5.8812836741247848E-5</v>
          </cell>
          <cell r="J1035">
            <v>1.0034107934529389E-4</v>
          </cell>
        </row>
        <row r="1036">
          <cell r="A1036" t="str">
            <v>RHES-SHCONBR</v>
          </cell>
          <cell r="B1036" t="str">
            <v>VAR_fin</v>
          </cell>
          <cell r="C1036" t="str">
            <v>CON</v>
          </cell>
          <cell r="H1036">
            <v>6.3471977405948714E-5</v>
          </cell>
          <cell r="I1036">
            <v>5.8812836741247848E-5</v>
          </cell>
          <cell r="J1036">
            <v>1.0034107934529389E-4</v>
          </cell>
        </row>
        <row r="1037">
          <cell r="A1037" t="str">
            <v>RHES-SHCONBR</v>
          </cell>
          <cell r="B1037" t="str">
            <v>VAR_ncap</v>
          </cell>
          <cell r="C1037" t="str">
            <v>-</v>
          </cell>
          <cell r="H1037">
            <v>8.0475113262467304E-8</v>
          </cell>
          <cell r="I1037">
            <v>2.6809744166536302E-7</v>
          </cell>
          <cell r="J1037">
            <v>3.6573540706677402E-6</v>
          </cell>
        </row>
        <row r="1038">
          <cell r="A1038" t="str">
            <v>RHES-SHCONBR</v>
          </cell>
          <cell r="B1038" t="str">
            <v>VAR_cap</v>
          </cell>
          <cell r="C1038" t="str">
            <v>-</v>
          </cell>
          <cell r="H1038">
            <v>2.8908076191966426E-6</v>
          </cell>
          <cell r="I1038">
            <v>3.1452284595308016E-6</v>
          </cell>
          <cell r="J1038">
            <v>6.8482904333040404E-6</v>
          </cell>
        </row>
        <row r="1039">
          <cell r="A1039" t="str">
            <v>RHSA-WHSOLBR</v>
          </cell>
          <cell r="B1039" t="str">
            <v>VAR_fout</v>
          </cell>
          <cell r="C1039" t="str">
            <v>RHSA-WHASOL</v>
          </cell>
          <cell r="H1039">
            <v>1.4503682607973312</v>
          </cell>
          <cell r="I1039">
            <v>1.717319258711435</v>
          </cell>
          <cell r="J1039">
            <v>1.9393070591929014</v>
          </cell>
        </row>
        <row r="1040">
          <cell r="A1040" t="str">
            <v>RHSA-WHSOLBR</v>
          </cell>
          <cell r="B1040" t="str">
            <v>VAR_fin</v>
          </cell>
          <cell r="C1040" t="str">
            <v>SOL</v>
          </cell>
          <cell r="H1040">
            <v>1.4503682607973312</v>
          </cell>
          <cell r="I1040">
            <v>1.717319258711435</v>
          </cell>
          <cell r="J1040">
            <v>1.9393070591929014</v>
          </cell>
        </row>
        <row r="1041">
          <cell r="A1041" t="str">
            <v>RHSA-WHSOLBR</v>
          </cell>
          <cell r="B1041" t="str">
            <v>VAR_fin</v>
          </cell>
          <cell r="C1041" t="str">
            <v>RHSASOLBRC</v>
          </cell>
          <cell r="H1041">
            <v>1.4503682607973312</v>
          </cell>
          <cell r="I1041">
            <v>1.717319258711435</v>
          </cell>
          <cell r="J1041">
            <v>1.9393070591929014</v>
          </cell>
        </row>
        <row r="1042">
          <cell r="A1042" t="str">
            <v>RHSA-WHSOLBR</v>
          </cell>
          <cell r="B1042" t="str">
            <v>VAR_ncap</v>
          </cell>
          <cell r="C1042" t="str">
            <v>-</v>
          </cell>
          <cell r="H1042">
            <v>0.25018563641812702</v>
          </cell>
          <cell r="I1042">
            <v>0.189716051522237</v>
          </cell>
          <cell r="J1042">
            <v>0.261764489158195</v>
          </cell>
        </row>
        <row r="1043">
          <cell r="A1043" t="str">
            <v>RHSA-WHSOLBR</v>
          </cell>
          <cell r="B1043" t="str">
            <v>VAR_cap</v>
          </cell>
          <cell r="C1043" t="str">
            <v>-</v>
          </cell>
          <cell r="H1043">
            <v>0.35728935193216632</v>
          </cell>
          <cell r="I1043">
            <v>0.43990251824973903</v>
          </cell>
          <cell r="J1043">
            <v>0.50527477176910029</v>
          </cell>
        </row>
        <row r="1044">
          <cell r="A1044" t="str">
            <v>SCOM-SHCONBR</v>
          </cell>
          <cell r="B1044" t="str">
            <v>VAR_cap</v>
          </cell>
          <cell r="C1044" t="str">
            <v>-</v>
          </cell>
          <cell r="H1044">
            <v>-9.7926152488306495E-8</v>
          </cell>
          <cell r="I1044">
            <v>-1.0584805245299501E-7</v>
          </cell>
        </row>
        <row r="1045">
          <cell r="A1045" t="str">
            <v>RHNM-SHNGABR</v>
          </cell>
          <cell r="B1045" t="str">
            <v>VAR_fout</v>
          </cell>
          <cell r="C1045" t="str">
            <v>CO2_R</v>
          </cell>
          <cell r="H1045">
            <v>6.5571252918175</v>
          </cell>
          <cell r="I1045">
            <v>3.5442724924523401</v>
          </cell>
        </row>
        <row r="1046">
          <cell r="A1046" t="str">
            <v>RHNM-SHNGABR</v>
          </cell>
          <cell r="B1046" t="str">
            <v>VAR_fout</v>
          </cell>
          <cell r="C1046" t="str">
            <v>RHNM-SHNGA</v>
          </cell>
          <cell r="H1046">
            <v>0.11158260111755287</v>
          </cell>
          <cell r="I1046">
            <v>6.0312885018490463E-2</v>
          </cell>
        </row>
        <row r="1047">
          <cell r="A1047" t="str">
            <v>RHNM-SHNGABR</v>
          </cell>
          <cell r="B1047" t="str">
            <v>VAR_fin</v>
          </cell>
          <cell r="C1047" t="str">
            <v>RNGA</v>
          </cell>
          <cell r="H1047">
            <v>0.11626108673435283</v>
          </cell>
          <cell r="I1047">
            <v>6.2841710859084063E-2</v>
          </cell>
        </row>
        <row r="1048">
          <cell r="A1048" t="str">
            <v>RHNM-SHNGABR</v>
          </cell>
          <cell r="B1048" t="str">
            <v>VAR_ncap</v>
          </cell>
          <cell r="C1048" t="str">
            <v>-</v>
          </cell>
          <cell r="H1048">
            <v>7.8912821564885095E-6</v>
          </cell>
          <cell r="I1048">
            <v>4.7119398643322404E-3</v>
          </cell>
          <cell r="J1048">
            <v>1.6913387931743999E-7</v>
          </cell>
        </row>
        <row r="1049">
          <cell r="A1049" t="str">
            <v>RHNM-SHNGABR</v>
          </cell>
          <cell r="B1049" t="str">
            <v>VAR_cap</v>
          </cell>
          <cell r="C1049" t="str">
            <v>-</v>
          </cell>
          <cell r="H1049">
            <v>9.2770077066508978E-3</v>
          </cell>
          <cell r="I1049">
            <v>4.7200788469423998E-3</v>
          </cell>
          <cell r="J1049">
            <v>7.6981182075700275E-6</v>
          </cell>
        </row>
        <row r="1050">
          <cell r="A1050" t="str">
            <v>RHES-SHSOLBR</v>
          </cell>
          <cell r="B1050" t="str">
            <v>VAR_fout</v>
          </cell>
          <cell r="C1050" t="str">
            <v>RHES-SHASOL</v>
          </cell>
          <cell r="H1050">
            <v>2.6956683244962493E-2</v>
          </cell>
          <cell r="I1050">
            <v>2.74296326291452E-2</v>
          </cell>
          <cell r="J1050">
            <v>2.672117224039753E-2</v>
          </cell>
        </row>
        <row r="1051">
          <cell r="A1051" t="str">
            <v>RHES-SHSOLBR</v>
          </cell>
          <cell r="B1051" t="str">
            <v>VAR_fin</v>
          </cell>
          <cell r="C1051" t="str">
            <v>SOL</v>
          </cell>
          <cell r="H1051">
            <v>2.6956683244962493E-2</v>
          </cell>
          <cell r="I1051">
            <v>2.74296326291452E-2</v>
          </cell>
          <cell r="J1051">
            <v>2.672117224039753E-2</v>
          </cell>
        </row>
        <row r="1052">
          <cell r="A1052" t="str">
            <v>RHES-SHSOLBR</v>
          </cell>
          <cell r="B1052" t="str">
            <v>VAR_ncap</v>
          </cell>
          <cell r="C1052" t="str">
            <v>-</v>
          </cell>
          <cell r="H1052">
            <v>4.6337212313365002E-7</v>
          </cell>
          <cell r="I1052">
            <v>4.0032168197334499E-3</v>
          </cell>
          <cell r="J1052">
            <v>9.9024031434463201E-4</v>
          </cell>
        </row>
        <row r="1053">
          <cell r="A1053" t="str">
            <v>RHES-SHSOLBR</v>
          </cell>
          <cell r="B1053" t="str">
            <v>VAR_cap</v>
          </cell>
          <cell r="C1053" t="str">
            <v>-</v>
          </cell>
          <cell r="H1053">
            <v>1.8301214045530447E-2</v>
          </cell>
          <cell r="I1053">
            <v>4.0036071958533138E-3</v>
          </cell>
          <cell r="J1053">
            <v>3.895610091799926E-3</v>
          </cell>
        </row>
        <row r="1054">
          <cell r="A1054" t="str">
            <v>SCOM-SHSOLBR</v>
          </cell>
          <cell r="B1054" t="str">
            <v>VAR_fout</v>
          </cell>
          <cell r="C1054" t="str">
            <v>SCOM-SHASOL</v>
          </cell>
          <cell r="H1054">
            <v>0.89834626775079296</v>
          </cell>
          <cell r="I1054">
            <v>1.1057106167603146</v>
          </cell>
          <cell r="J1054">
            <v>1.2662947576408834</v>
          </cell>
        </row>
        <row r="1055">
          <cell r="A1055" t="str">
            <v>SCOM-SHSOLBR</v>
          </cell>
          <cell r="B1055" t="str">
            <v>VAR_fin</v>
          </cell>
          <cell r="C1055" t="str">
            <v>SOL</v>
          </cell>
          <cell r="H1055">
            <v>0.89834626775079296</v>
          </cell>
          <cell r="I1055">
            <v>1.1057106167603146</v>
          </cell>
          <cell r="J1055">
            <v>1.2662947576408834</v>
          </cell>
        </row>
        <row r="1056">
          <cell r="A1056" t="str">
            <v>SCOM-SHSOLBR</v>
          </cell>
          <cell r="B1056" t="str">
            <v>VAR_ncap</v>
          </cell>
          <cell r="C1056" t="str">
            <v>-</v>
          </cell>
          <cell r="H1056">
            <v>8.9948515619953498E-2</v>
          </cell>
          <cell r="I1056">
            <v>6.3542819801724798E-2</v>
          </cell>
          <cell r="J1056">
            <v>0.102659488528763</v>
          </cell>
        </row>
        <row r="1057">
          <cell r="A1057" t="str">
            <v>SCOM-SHSOLBR</v>
          </cell>
          <cell r="B1057" t="str">
            <v>VAR_cap</v>
          </cell>
          <cell r="C1057" t="str">
            <v>-</v>
          </cell>
          <cell r="H1057">
            <v>0.13049962928143716</v>
          </cell>
          <cell r="I1057">
            <v>0.16199103010283042</v>
          </cell>
          <cell r="J1057">
            <v>0.18682218508594584</v>
          </cell>
        </row>
        <row r="1058">
          <cell r="A1058" t="str">
            <v>RHEM-SHSTG-ELCHP</v>
          </cell>
          <cell r="B1058" t="str">
            <v>VAR_fout</v>
          </cell>
          <cell r="C1058" t="str">
            <v>RHEM-SHAELCH</v>
          </cell>
          <cell r="H1058">
            <v>3.49923189634973</v>
          </cell>
          <cell r="I1058">
            <v>4.9880056212383153</v>
          </cell>
          <cell r="J1058">
            <v>4.4856649619585482</v>
          </cell>
        </row>
        <row r="1059">
          <cell r="A1059" t="str">
            <v>RHEM-SHSTG-ELCHP</v>
          </cell>
          <cell r="B1059" t="str">
            <v>VAR_fout</v>
          </cell>
          <cell r="C1059" t="str">
            <v>AUX_RHEM-SHSTG-ELCHP_OUT</v>
          </cell>
          <cell r="H1059">
            <v>3.5027311282460825</v>
          </cell>
          <cell r="I1059">
            <v>4.9929936268595547</v>
          </cell>
          <cell r="J1059">
            <v>4.4901506269205038</v>
          </cell>
        </row>
        <row r="1060">
          <cell r="A1060" t="str">
            <v>RHEM-SHSTG-ELCHP</v>
          </cell>
          <cell r="B1060" t="str">
            <v>VAR_fin</v>
          </cell>
          <cell r="C1060" t="str">
            <v>RHEM-SHAELCH</v>
          </cell>
          <cell r="H1060">
            <v>3.4992347074224166</v>
          </cell>
          <cell r="I1060">
            <v>4.9880091811236387</v>
          </cell>
          <cell r="J1060">
            <v>4.4856687583528023</v>
          </cell>
        </row>
        <row r="1061">
          <cell r="A1061" t="str">
            <v>RHEM-SHSTG-ELCHP</v>
          </cell>
          <cell r="B1061" t="str">
            <v>VAR_ncap</v>
          </cell>
          <cell r="C1061" t="str">
            <v>-</v>
          </cell>
          <cell r="H1061">
            <v>0.21671100234542301</v>
          </cell>
          <cell r="I1061">
            <v>0.17566201650743399</v>
          </cell>
          <cell r="J1061">
            <v>0.25626187377596299</v>
          </cell>
        </row>
        <row r="1062">
          <cell r="A1062" t="str">
            <v>RHEM-SHSTG-ELCHP</v>
          </cell>
          <cell r="B1062" t="str">
            <v>VAR_cap</v>
          </cell>
          <cell r="C1062" t="str">
            <v>-</v>
          </cell>
          <cell r="H1062">
            <v>0.39890924853174048</v>
          </cell>
          <cell r="I1062">
            <v>0.48247545011851772</v>
          </cell>
          <cell r="J1062">
            <v>0.47537118728484795</v>
          </cell>
        </row>
        <row r="1063">
          <cell r="A1063" t="str">
            <v>ITOT-SWHELCBR</v>
          </cell>
          <cell r="B1063" t="str">
            <v>VAR_fout</v>
          </cell>
          <cell r="C1063" t="str">
            <v>ITOT-SWHAELC</v>
          </cell>
          <cell r="H1063">
            <v>11.374094474819794</v>
          </cell>
          <cell r="I1063">
            <v>11.374094755728272</v>
          </cell>
          <cell r="J1063">
            <v>15.152287949764093</v>
          </cell>
        </row>
        <row r="1064">
          <cell r="A1064" t="str">
            <v>ITOT-SWHELCBR</v>
          </cell>
          <cell r="B1064" t="str">
            <v>VAR_fin</v>
          </cell>
          <cell r="C1064" t="str">
            <v>ITOT_ELC</v>
          </cell>
          <cell r="H1064">
            <v>13.445073460309201</v>
          </cell>
          <cell r="I1064">
            <v>13.4273391927162</v>
          </cell>
          <cell r="J1064">
            <v>17.840504743643201</v>
          </cell>
        </row>
        <row r="1065">
          <cell r="A1065" t="str">
            <v>ITOT-SWHELCBR</v>
          </cell>
          <cell r="B1065" t="str">
            <v>VAR_ncap</v>
          </cell>
          <cell r="C1065" t="str">
            <v>-</v>
          </cell>
          <cell r="H1065">
            <v>0.48443644050504497</v>
          </cell>
          <cell r="I1065">
            <v>0.35514744156957301</v>
          </cell>
          <cell r="J1065">
            <v>0.78416079781541603</v>
          </cell>
        </row>
        <row r="1066">
          <cell r="A1066" t="str">
            <v>ITOT-SWHELCBR</v>
          </cell>
          <cell r="B1066" t="str">
            <v>VAR_cap</v>
          </cell>
          <cell r="C1066" t="str">
            <v>-</v>
          </cell>
          <cell r="H1066">
            <v>0.90480919190610642</v>
          </cell>
          <cell r="I1066">
            <v>0.9409039981599876</v>
          </cell>
          <cell r="J1066">
            <v>1.246807167001696</v>
          </cell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0.15512957952440115</v>
          </cell>
          <cell r="K4">
            <v>17.001143491533128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1.0226756615168068E-2</v>
          </cell>
          <cell r="K5">
            <v>0.19852286826290597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5.3604789352614576E-2</v>
          </cell>
          <cell r="K6">
            <v>12.048502691046837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9.1298033556618724E-2</v>
          </cell>
          <cell r="K7">
            <v>4.7541179322233864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-57.507363077817303</v>
          </cell>
          <cell r="K8">
            <v>-54.022273383478833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751.8040318044101</v>
          </cell>
          <cell r="K9">
            <v>2174.8429718129642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838.6214729411322</v>
          </cell>
          <cell r="K10">
            <v>2075.1206972873601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6.5711845350282188</v>
          </cell>
          <cell r="K11">
            <v>351.80712927558255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10.727309436147735</v>
          </cell>
          <cell r="K12">
            <v>10.667786919122872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214.3072312615565</v>
          </cell>
          <cell r="K13">
            <v>589.46322900808832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0.16237589541537381</v>
          </cell>
          <cell r="K14">
            <v>1316.9065783162334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5.7004432115761311E-2</v>
          </cell>
          <cell r="K15">
            <v>1031.8823869277167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3.0412724406769061E-2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2.7261136708672776E-3</v>
          </cell>
          <cell r="K17">
            <v>8.8524107315973936E-3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1822.2329148014985</v>
          </cell>
          <cell r="K18">
            <v>7550.7099545804322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-59.450760859072687</v>
          </cell>
          <cell r="K19">
            <v>-55.503222252258347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833.33239195490557</v>
          </cell>
          <cell r="K20">
            <v>1904.7633561724247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833.33239195490557</v>
          </cell>
          <cell r="K21">
            <v>1904.7633561724247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-57.507363077817303</v>
          </cell>
          <cell r="K22">
            <v>-54.022273383478833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4.34371664874792</v>
          </cell>
          <cell r="J23">
            <v>2.42756111671914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18.416253839637498</v>
          </cell>
          <cell r="J24">
            <v>22.7514299788518</v>
          </cell>
          <cell r="K24">
            <v>25.895440073601002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1.03349482169332</v>
          </cell>
          <cell r="J25">
            <v>0.360589155468653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518.91369897248705</v>
          </cell>
          <cell r="J26">
            <v>187.18174051592899</v>
          </cell>
          <cell r="K26">
            <v>58.756867988597797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57.113953548575701</v>
          </cell>
          <cell r="J27">
            <v>70.998353683581001</v>
          </cell>
          <cell r="K27">
            <v>66.436341098109295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554.45423633695896</v>
          </cell>
          <cell r="J28">
            <v>194.71455976226201</v>
          </cell>
          <cell r="K28">
            <v>18.264378282151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40.497946967317297</v>
          </cell>
          <cell r="J29">
            <v>36.447116109879303</v>
          </cell>
          <cell r="K29">
            <v>27.2882856157694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3.3165269198131502</v>
          </cell>
          <cell r="J30">
            <v>3.2431664966740801</v>
          </cell>
          <cell r="K30">
            <v>1.9570634530831199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1.85568020476955</v>
          </cell>
          <cell r="J31">
            <v>1.5420211104688999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9.4955622565518407</v>
          </cell>
          <cell r="J32">
            <v>4.9062626689687496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23.902426084137499</v>
          </cell>
          <cell r="J33">
            <v>29.757253434928401</v>
          </cell>
          <cell r="K33">
            <v>33.338146343090798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282.59075727501403</v>
          </cell>
          <cell r="J34">
            <v>130.72294914973901</v>
          </cell>
          <cell r="K34">
            <v>52.044519097620203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213.282805142857</v>
          </cell>
          <cell r="J35">
            <v>115.42754312522</v>
          </cell>
          <cell r="K35">
            <v>44.825921260176202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173.750192096853</v>
          </cell>
          <cell r="J36">
            <v>79.149362455686202</v>
          </cell>
          <cell r="K36">
            <v>3.9979688707012899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331.40922381737698</v>
          </cell>
          <cell r="J37">
            <v>105.28285185986699</v>
          </cell>
          <cell r="K37">
            <v>10.6621623127349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4.6618391041642102</v>
          </cell>
          <cell r="J38">
            <v>2.4560884473992401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44.800664367102101</v>
          </cell>
          <cell r="J39">
            <v>19.7304259483309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108.365504169875</v>
          </cell>
          <cell r="J41">
            <v>130.36228074855899</v>
          </cell>
          <cell r="K41">
            <v>108.710892349552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6.5571252918175</v>
          </cell>
          <cell r="J42">
            <v>3.5442724924523401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2398.7616078657502</v>
          </cell>
          <cell r="J43">
            <v>1141.00582826098</v>
          </cell>
          <cell r="K43">
            <v>452.17798674518701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102.69777312451301</v>
          </cell>
          <cell r="J44">
            <v>124.499996679302</v>
          </cell>
          <cell r="K44">
            <v>112.67223643640899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28.870525377384801</v>
          </cell>
          <cell r="J45">
            <v>37.775468704218802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510.20505699120599</v>
          </cell>
          <cell r="J46">
            <v>212.326245179274</v>
          </cell>
          <cell r="K46">
            <v>63.650757063437297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659.25929618898294</v>
          </cell>
          <cell r="J47">
            <v>266.58095129900801</v>
          </cell>
          <cell r="K47">
            <v>15.013344181969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1301.0326516820901</v>
          </cell>
          <cell r="J48">
            <v>641.18266186180301</v>
          </cell>
          <cell r="K48">
            <v>191.336337681815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0.37678804531487869</v>
          </cell>
          <cell r="J50">
            <v>0.37167749706226599</v>
          </cell>
          <cell r="K50">
            <v>2.4076425137352399E-2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9.7481155622986551E-2</v>
          </cell>
          <cell r="J51">
            <v>4.5212835465818793E-2</v>
          </cell>
          <cell r="K51">
            <v>6.5664804186961693E-3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2.5738676280870258</v>
          </cell>
          <cell r="J52">
            <v>1.0083628809508045</v>
          </cell>
          <cell r="K52">
            <v>2.8786667479698901E-2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855.31792211486493</v>
          </cell>
          <cell r="J53">
            <v>462.83354731343013</v>
          </cell>
          <cell r="K53">
            <v>61.748430053858748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2.4385575533310058</v>
          </cell>
          <cell r="J54">
            <v>0.40258509203411491</v>
          </cell>
          <cell r="K54">
            <v>2.3543487016781273E-2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147.30582745687269</v>
          </cell>
          <cell r="J55">
            <v>7.4608045520414296E-3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1.6128621053944189E-3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1.2664575448537824E-3</v>
          </cell>
          <cell r="J59">
            <v>7.9656452492938909E-5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0.20473600385843022</v>
          </cell>
          <cell r="J60">
            <v>8.3738414418137001E-3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4.3955023584446471E-3</v>
          </cell>
          <cell r="J61">
            <v>1.259414024328483E-4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1.098290806651593E-3</v>
          </cell>
          <cell r="J62">
            <v>1.083535536503529E-4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5.5623632143767449E-2</v>
          </cell>
          <cell r="J63">
            <v>1.7977312104553458E-2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6.0665948652398369E-2</v>
          </cell>
          <cell r="J64">
            <v>1.864168928388588E-2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4.2461375506209875E-2</v>
          </cell>
          <cell r="J65">
            <v>1.374561864909459E-2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6.1467798932924318E-2</v>
          </cell>
          <cell r="J66">
            <v>1.7117624406893132E-2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4.7725863800514419E-2</v>
          </cell>
          <cell r="J67">
            <v>1.489003002602861E-2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8.0434185512736539E-2</v>
          </cell>
          <cell r="J68">
            <v>2.466894785717064E-2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4.6921979565002755E-2</v>
          </cell>
          <cell r="J69">
            <v>1.3399238560007791E-2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1.9203595589573199E-4</v>
          </cell>
          <cell r="J70">
            <v>3.5885199686990198E-4</v>
          </cell>
          <cell r="K70">
            <v>8.7866034691159005E-5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3.1255701471278548E-2</v>
          </cell>
          <cell r="J71">
            <v>9.1397435570395504E-3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J72">
            <v>5.5799321783818305E-4</v>
          </cell>
          <cell r="K72">
            <v>1.08580259087435E-4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8.1807007014666006E-2</v>
          </cell>
          <cell r="J76">
            <v>3.22571234862516E-2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62.833387653411279</v>
          </cell>
          <cell r="J77">
            <v>65.886515609679634</v>
          </cell>
          <cell r="K77">
            <v>16.577409686692278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1191.23371928693</v>
          </cell>
          <cell r="J78">
            <v>1042.85198499021</v>
          </cell>
          <cell r="K78">
            <v>149.73599529810099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0.73508477515223647</v>
          </cell>
          <cell r="J79">
            <v>2.8127001959708173E-2</v>
          </cell>
          <cell r="K79">
            <v>1.484263297931205E-2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13.895139539186198</v>
          </cell>
          <cell r="J80">
            <v>3.3829986383900095</v>
          </cell>
          <cell r="K80">
            <v>1.457865142029381E-2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9.3075725644010081</v>
          </cell>
          <cell r="J82">
            <v>8.4259297911214031</v>
          </cell>
          <cell r="K82">
            <v>0.51211913206595971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2.2903119198587241E-3</v>
          </cell>
          <cell r="J85">
            <v>3.0257212012764701E-4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5.1640919881764301E-5</v>
          </cell>
          <cell r="J86">
            <v>2.4568722266557502E-4</v>
          </cell>
          <cell r="K86">
            <v>3.2440077048042901E-5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J87">
            <v>4.54790178499832E-4</v>
          </cell>
          <cell r="K87">
            <v>7.7639174124590702E-5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I88">
            <v>4.0911847620474801E-5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I90">
            <v>4.1136080014044901E-4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46.994208631085847</v>
          </cell>
          <cell r="J98">
            <v>6.2309619996654853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71.468053093039799</v>
          </cell>
          <cell r="J99">
            <v>8.1549773902139695E-3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54.401051921244864</v>
          </cell>
          <cell r="J100">
            <v>5.7763947475906479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4.8209798740542806E-2</v>
          </cell>
          <cell r="J101">
            <v>1.1807529247964962E-2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73.287945912072487</v>
          </cell>
          <cell r="J102">
            <v>7.2980730518954946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1.5402554527837617</v>
          </cell>
          <cell r="J103">
            <v>1.288269892868104E-2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121.71556546787481</v>
          </cell>
          <cell r="J104">
            <v>14.669820744249348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10.139469251047821</v>
          </cell>
          <cell r="J105">
            <v>1.1871634561163871E-2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5.6777493832411761</v>
          </cell>
          <cell r="J106">
            <v>8.5182299919101395E-3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3.3301444700767101E-5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2.2997291092788702E-5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0.19338647005162049</v>
          </cell>
          <cell r="J111">
            <v>2.4902649278270919E-2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2.9361021359316501E-2</v>
          </cell>
          <cell r="J113">
            <v>3.0042891524830199E-2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23.557755030242955</v>
          </cell>
          <cell r="J114">
            <v>2.8680077438212672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2.4553864267055143</v>
          </cell>
          <cell r="J115">
            <v>1.347383342249097E-2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22.107172709925582</v>
          </cell>
          <cell r="J116">
            <v>9.0760679986474201E-3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40.979105084136954</v>
          </cell>
          <cell r="J117">
            <v>2.7761211622231601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1.1706598409452367</v>
          </cell>
          <cell r="J118">
            <v>1.0063383143298089E-2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0.46802491795021178</v>
          </cell>
          <cell r="J119">
            <v>7.5980952433546403E-3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0.91810693391345832</v>
          </cell>
          <cell r="J120">
            <v>8.1614169037989813E-3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882.03229474842499</v>
          </cell>
          <cell r="J121">
            <v>762.02691669907404</v>
          </cell>
          <cell r="K121">
            <v>34.258499970020999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4.4967698389236602E-2</v>
          </cell>
          <cell r="J122">
            <v>5.4553119132143897E-2</v>
          </cell>
          <cell r="K122">
            <v>5.6823399175592003E-3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9.6346330399260063E-2</v>
          </cell>
          <cell r="J123">
            <v>4.437229027869944E-2</v>
          </cell>
          <cell r="K123">
            <v>6.4548639254509103E-3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5.878349151732924</v>
          </cell>
          <cell r="J124">
            <v>3.4604314417341198</v>
          </cell>
          <cell r="K124">
            <v>2.9443226501380398E-2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605.34369440733474</v>
          </cell>
          <cell r="J125">
            <v>414.94544920883448</v>
          </cell>
          <cell r="K125">
            <v>42.208490744091613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2.4170204979771901E-4</v>
          </cell>
          <cell r="J126">
            <v>6.0175790393971796E-4</v>
          </cell>
          <cell r="K126">
            <v>1.98127023591334E-4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1.2455083737381449</v>
          </cell>
          <cell r="J127">
            <v>0.49028527455973414</v>
          </cell>
          <cell r="K127">
            <v>2.3337354508570919E-2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J128">
            <v>8.71033935807821E-4</v>
          </cell>
          <cell r="K128">
            <v>2.8242933072187502E-4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5.5465716463388697E-5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8.2771039905692802E-5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4444.30865948255</v>
          </cell>
          <cell r="J136">
            <v>2960.5983722580299</v>
          </cell>
          <cell r="K136">
            <v>428.30747776154902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-751.80403180440999</v>
          </cell>
          <cell r="K137">
            <v>-2174.8429718129601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6210.39706102124</v>
          </cell>
          <cell r="J138">
            <v>5434.3619727867699</v>
          </cell>
          <cell r="K138">
            <v>4381.5971766611301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2.4823200122102498E-2</v>
          </cell>
          <cell r="J139">
            <v>60.399926132988199</v>
          </cell>
          <cell r="K139">
            <v>2.7476683881947999E-2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-838.62147294113197</v>
          </cell>
          <cell r="K140">
            <v>-2075.1206972873601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373.83322957238499</v>
          </cell>
          <cell r="J142">
            <v>323.55532719103201</v>
          </cell>
          <cell r="K142">
            <v>2.3952273584322499E-4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-6.5711845350282196</v>
          </cell>
          <cell r="K143">
            <v>-351.80712927558199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-10.727309436147699</v>
          </cell>
          <cell r="K144">
            <v>-10.6677869191229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2718.1941550702099</v>
          </cell>
          <cell r="J145">
            <v>2038.98825242819</v>
          </cell>
          <cell r="K145">
            <v>4.7539606115161597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2085.5352788086202</v>
          </cell>
          <cell r="J146">
            <v>2077.4146505059698</v>
          </cell>
          <cell r="K146">
            <v>2063.7515184149802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15.056920151674101</v>
          </cell>
          <cell r="J147">
            <v>109.868063681511</v>
          </cell>
          <cell r="K147">
            <v>1.00811992402272E-2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0.38687953612440601</v>
          </cell>
          <cell r="J148">
            <v>0.33001238626826201</v>
          </cell>
          <cell r="K148">
            <v>1.40488514424961E-2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643.81534575911701</v>
          </cell>
          <cell r="J149">
            <v>374.55689183172501</v>
          </cell>
          <cell r="K149">
            <v>167.57551413467101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-1185.72269123879</v>
          </cell>
          <cell r="J150">
            <v>-375.06968641351699</v>
          </cell>
          <cell r="K150">
            <v>-2790.1886510567101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1337.19533335654</v>
          </cell>
          <cell r="J151">
            <v>758.46308835883303</v>
          </cell>
          <cell r="K151">
            <v>407.142331555385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4.2297569992639901E-2</v>
          </cell>
          <cell r="J152">
            <v>0.18022401883742201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670.43561785384804</v>
          </cell>
          <cell r="J153">
            <v>271.08226378315902</v>
          </cell>
          <cell r="K153">
            <v>2.4575809990283698E-4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-214.30723126155601</v>
          </cell>
          <cell r="K155">
            <v>-589.46322900808798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1083.89391611919</v>
          </cell>
          <cell r="J156">
            <v>389.59647669807299</v>
          </cell>
          <cell r="K156">
            <v>2.7039262399503299E-4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1306.9546665866601</v>
          </cell>
          <cell r="J157">
            <v>513.95910288319203</v>
          </cell>
          <cell r="K157">
            <v>12.048502691046901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-0.16237589541537401</v>
          </cell>
          <cell r="K158">
            <v>-1316.90657831623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-5.7004432115761297E-2</v>
          </cell>
          <cell r="K159">
            <v>-1031.8823869277201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1001.75485410329</v>
          </cell>
          <cell r="J160">
            <v>996.69864672296205</v>
          </cell>
          <cell r="K160">
            <v>986.58520852522702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-3.0412724406768999E-2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188.403692309425</v>
          </cell>
          <cell r="J162">
            <v>156.60188233427101</v>
          </cell>
          <cell r="K162">
            <v>1.5624757824982301E-4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579.59181461931701</v>
          </cell>
          <cell r="J163">
            <v>373.431493375093</v>
          </cell>
          <cell r="K163">
            <v>2.1127145724185E-2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-2.7261136708672802E-3</v>
          </cell>
          <cell r="K164">
            <v>-8.8524107315974005E-3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2240.4530658601302</v>
          </cell>
          <cell r="J165">
            <v>2288.75973622629</v>
          </cell>
          <cell r="K165">
            <v>2317.3903000093401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19270.2462602591</v>
          </cell>
          <cell r="J166">
            <v>13970.922217085899</v>
          </cell>
          <cell r="K166">
            <v>-3.2376381038405197E-5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-0.202945725797606</v>
          </cell>
          <cell r="J167">
            <v>-0.27831842437050902</v>
          </cell>
          <cell r="K167">
            <v>-0.44191540081429098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J168">
            <v>988.74539326707225</v>
          </cell>
          <cell r="K168">
            <v>5628.9454549164584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J169">
            <v>988.74539326707225</v>
          </cell>
          <cell r="K169">
            <v>5628.9454549164584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9.3151391783891674E-2</v>
          </cell>
          <cell r="K170">
            <v>3.5782410861223815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833.33239195490557</v>
          </cell>
          <cell r="K171">
            <v>1904.7633561724247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833.33239195490557</v>
          </cell>
          <cell r="K172">
            <v>1904.7633561724247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4040.7822978737286</v>
          </cell>
          <cell r="J173">
            <v>3831.6802679468838</v>
          </cell>
          <cell r="K173">
            <v>3050.3855702925498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2421.0892494757272</v>
          </cell>
          <cell r="J174">
            <v>1148.059565056906</v>
          </cell>
          <cell r="K174">
            <v>407.14260194800903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4211.1705931087536</v>
          </cell>
          <cell r="J175">
            <v>2707.5778123682494</v>
          </cell>
          <cell r="K175">
            <v>16.816666105352983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2255.5099860117966</v>
          </cell>
          <cell r="J176">
            <v>2398.6277999078038</v>
          </cell>
          <cell r="K176">
            <v>2317.4003812085771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1314.2509636129646</v>
          </cell>
          <cell r="J177">
            <v>645.6391556148842</v>
          </cell>
          <cell r="K177">
            <v>167.57575989277078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2255.5099860117966</v>
          </cell>
          <cell r="J178">
            <v>808.03630092778985</v>
          </cell>
          <cell r="K178">
            <v>-3249.4737298435512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-3.0412724406769061E-2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4040.7731091632604</v>
          </cell>
          <cell r="J180">
            <v>3600.0172371894478</v>
          </cell>
          <cell r="K180">
            <v>1066.5673470991419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20539.086185258038</v>
          </cell>
          <cell r="J181">
            <v>15139.638139011964</v>
          </cell>
          <cell r="K181">
            <v>3776.3841839784418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3.1642679993469803E-5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J184">
            <v>988.74539326706997</v>
          </cell>
          <cell r="K184">
            <v>5628.9454549164702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-3.1999691780510799E-7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2085.5352788086175</v>
          </cell>
          <cell r="J186">
            <v>2077.4146505059698</v>
          </cell>
          <cell r="K186">
            <v>2063.7515184149811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2085.5352788086175</v>
          </cell>
          <cell r="J187">
            <v>2077.4146505059698</v>
          </cell>
          <cell r="K187">
            <v>2063.7515184149811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811.92198312275104</v>
          </cell>
          <cell r="K188">
            <v>2302.70011963149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942.27131791138504</v>
          </cell>
          <cell r="K189">
            <v>2331.59628908692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2535.9319943649298</v>
          </cell>
          <cell r="J191">
            <v>1544.86054550009</v>
          </cell>
          <cell r="K191">
            <v>0.21659248405494699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1944.97450510862</v>
          </cell>
          <cell r="J193">
            <v>1278.4691738414899</v>
          </cell>
          <cell r="K193">
            <v>0.27122874972803601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4.6968400272105602E-4</v>
          </cell>
          <cell r="K194">
            <v>0.26791228909058601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14.6223977400003</v>
          </cell>
          <cell r="J195">
            <v>1.18183620107595E-2</v>
          </cell>
          <cell r="K195">
            <v>1.8962577182147399E-4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8.2400085969135006E-2</v>
          </cell>
          <cell r="J196">
            <v>0.49070525998890002</v>
          </cell>
          <cell r="K196">
            <v>5.9692555657752397E-3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3.6894173007216702E-4</v>
          </cell>
          <cell r="K197">
            <v>0.20048931522730901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0.101130999792567</v>
          </cell>
          <cell r="J198">
            <v>107.53325610239099</v>
          </cell>
          <cell r="K198">
            <v>4.45759121003455E-3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4495.71242829931</v>
          </cell>
          <cell r="J199">
            <v>4685.5596387258402</v>
          </cell>
          <cell r="K199">
            <v>4635.2632480290604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15.1076286111131</v>
          </cell>
          <cell r="J200">
            <v>94.076932221592799</v>
          </cell>
          <cell r="K200">
            <v>18.795250248174501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717.62147458235302</v>
          </cell>
          <cell r="J201">
            <v>420.99644839439799</v>
          </cell>
          <cell r="K201">
            <v>124.232953955056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8.6007163144771699</v>
          </cell>
          <cell r="K202">
            <v>485.285870495675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365.60668888275598</v>
          </cell>
          <cell r="J203">
            <v>364.03649270339002</v>
          </cell>
          <cell r="K203">
            <v>45.885223397580198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12.095938000012699</v>
          </cell>
          <cell r="K204">
            <v>12.0101183515656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4.9104832731726097E-2</v>
          </cell>
          <cell r="J205">
            <v>0.13367867543708001</v>
          </cell>
          <cell r="K205">
            <v>8.1374460198070694E-2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2.4823200122102498E-2</v>
          </cell>
          <cell r="J206">
            <v>60.399926132988199</v>
          </cell>
          <cell r="K206">
            <v>2.7476683881947999E-2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47.8693723269107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1000.859461446</v>
          </cell>
          <cell r="J208">
            <v>983.40520610279395</v>
          </cell>
          <cell r="K208">
            <v>501.11821097156201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5.6795312855511301E-2</v>
          </cell>
          <cell r="J209">
            <v>4.5091420923292297E-2</v>
          </cell>
          <cell r="K209">
            <v>4.4075124183461697E-2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0.89828341589091898</v>
          </cell>
          <cell r="J210">
            <v>4.7040639104162301</v>
          </cell>
          <cell r="K210">
            <v>0.18739904347071601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4.1591151280368797E-2</v>
          </cell>
          <cell r="J211">
            <v>0.177214067690593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2148.1352237620099</v>
          </cell>
          <cell r="J212">
            <v>1948.67170794412</v>
          </cell>
          <cell r="K212">
            <v>1187.6679527313499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6.7489082727004899E-7</v>
          </cell>
          <cell r="J4">
            <v>7.2862889212586802E-7</v>
          </cell>
          <cell r="K4">
            <v>7.17841169953503E-5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1.3830784490760699E-5</v>
          </cell>
          <cell r="K5">
            <v>8.9059944537928602E-8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4.19754298142533E-6</v>
          </cell>
          <cell r="J6">
            <v>0.61406723641753103</v>
          </cell>
          <cell r="K6">
            <v>1.42558412397057E-6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1.41753694689382E-6</v>
          </cell>
          <cell r="J7">
            <v>8.91392582199285E-5</v>
          </cell>
          <cell r="K7">
            <v>4.1379377377557299E-4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4.3595429825397802E-7</v>
          </cell>
          <cell r="J8">
            <v>9.5676926760260306E-7</v>
          </cell>
          <cell r="K8">
            <v>1.7096527944703E-6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0.373731717002455</v>
          </cell>
          <cell r="K9">
            <v>8.3218606182024097E-7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0.148294710241787</v>
          </cell>
          <cell r="J10">
            <v>1.99637800712444E-2</v>
          </cell>
          <cell r="K10">
            <v>0.110245429142781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4.8708386456395504E-7</v>
          </cell>
          <cell r="J11">
            <v>9.3338969808245001E-7</v>
          </cell>
          <cell r="K11">
            <v>2.5958077713439701E-4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1.6892629296459901E-6</v>
          </cell>
          <cell r="J12">
            <v>4.7670364626225703E-2</v>
          </cell>
          <cell r="K12">
            <v>5.6042081372473997E-2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2.0500471431678E-7</v>
          </cell>
          <cell r="J13">
            <v>8.6143177690541002E-8</v>
          </cell>
          <cell r="K13">
            <v>1.6890402879265601E-7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9.02886314926275E-8</v>
          </cell>
          <cell r="J14">
            <v>1.10783451916651E-7</v>
          </cell>
          <cell r="K14">
            <v>2.47118809648764E-7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8.3758165417020108E-6</v>
          </cell>
          <cell r="J15">
            <v>0.124365878096799</v>
          </cell>
          <cell r="K15">
            <v>7.2265020469600497E-3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2.0879192393529298E-6</v>
          </cell>
          <cell r="J16">
            <v>2.8123352822721802E-4</v>
          </cell>
          <cell r="K16">
            <v>8.9006376305763996E-3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4.4579712382512202E-6</v>
          </cell>
          <cell r="J17">
            <v>0.34449538141878699</v>
          </cell>
          <cell r="K17">
            <v>1.2427274364791701E-7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1.9379972398221801E-7</v>
          </cell>
          <cell r="J18">
            <v>2.75375301944591E-7</v>
          </cell>
          <cell r="K18">
            <v>5.0679557315826397E-7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5.1119616380601998E-6</v>
          </cell>
          <cell r="J19">
            <v>9.8388448343940393E-2</v>
          </cell>
          <cell r="K19">
            <v>0.248889035519331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7.5876699665347403E-8</v>
          </cell>
          <cell r="J20">
            <v>1.1319119378294E-7</v>
          </cell>
          <cell r="K20">
            <v>1.9962091173572999E-7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1.06562459246518E-5</v>
          </cell>
          <cell r="J21">
            <v>6.0609578082261598E-6</v>
          </cell>
          <cell r="K21">
            <v>7.8394865298502794E-6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9.2198983016976904E-2</v>
          </cell>
          <cell r="K22">
            <v>3.8637853903817297E-6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  <cell r="J23">
            <v>3.4188000442016598E-7</v>
          </cell>
          <cell r="K23">
            <v>4.1011634949662202E-5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I24">
            <v>0.25293077582852902</v>
          </cell>
          <cell r="J24">
            <v>0.144792787254093</v>
          </cell>
          <cell r="K24">
            <v>0.33653295574549802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I25">
            <v>1.11798049638201E-5</v>
          </cell>
          <cell r="J25">
            <v>5.7063416901873401E-6</v>
          </cell>
          <cell r="K25">
            <v>6.6018776548627506E-2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I26">
            <v>7.12980988647713E-2</v>
          </cell>
          <cell r="J26">
            <v>0.15490364415272001</v>
          </cell>
          <cell r="K26">
            <v>7.5937555438845103E-2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I27">
            <v>3.2776264733642498E-5</v>
          </cell>
          <cell r="J27">
            <v>0.123086902924715</v>
          </cell>
          <cell r="K27">
            <v>7.1465763219552498E-3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I28">
            <v>5.22468093518245E-7</v>
          </cell>
          <cell r="J28">
            <v>4.3991843674197699E-6</v>
          </cell>
          <cell r="K28">
            <v>2.3974904235155099E-4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I29">
            <v>8.8900400826438504E-7</v>
          </cell>
          <cell r="J29">
            <v>1.4207084301311E-6</v>
          </cell>
          <cell r="K29">
            <v>4.36866673789399E-6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I30">
            <v>2.3855735096789901E-6</v>
          </cell>
          <cell r="J30">
            <v>3.9459525722266599E-4</v>
          </cell>
          <cell r="K30">
            <v>8.8035061249562806E-3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  <cell r="J31">
            <v>8.9427519599708601E-4</v>
          </cell>
          <cell r="K31">
            <v>8.8419588591345604E-4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I32">
            <v>7.6248741701468193E-7</v>
          </cell>
          <cell r="J32">
            <v>1.0390554426376001E-6</v>
          </cell>
          <cell r="K32">
            <v>7.2750283242295632E-5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  <cell r="J33">
            <v>1.3830784490760699E-5</v>
          </cell>
          <cell r="K33">
            <v>1.3871088530255287E-5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I34">
            <v>6.5932596387315616E-6</v>
          </cell>
          <cell r="J34">
            <v>0.61407366448650458</v>
          </cell>
          <cell r="K34">
            <v>0.61407226689769079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I35">
            <v>1.6237284240607428E-6</v>
          </cell>
          <cell r="J35">
            <v>9.0518644965006888E-5</v>
          </cell>
          <cell r="K35">
            <v>5.0373342303010424E-4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I36">
            <v>1.0275140422639608</v>
          </cell>
          <cell r="J36">
            <v>1.0275149990332284</v>
          </cell>
          <cell r="K36">
            <v>0.72468139545980292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  <cell r="J37">
            <v>0.373731717002455</v>
          </cell>
          <cell r="K37">
            <v>0.373732549188517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I38">
            <v>0.29244710378717664</v>
          </cell>
          <cell r="J38">
            <v>0.281001251074387</v>
          </cell>
          <cell r="K38">
            <v>0.27422247877578793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I39">
            <v>1.4556666456584399E-6</v>
          </cell>
          <cell r="J39">
            <v>2.3890563437408898E-6</v>
          </cell>
          <cell r="K39">
            <v>2.6196983347813799E-4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I40">
            <v>9.0204437723105574E-2</v>
          </cell>
          <cell r="J40">
            <v>9.201164336915707E-2</v>
          </cell>
          <cell r="K40">
            <v>0.10371353592059307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I41">
            <v>7.5746949903256297E-2</v>
          </cell>
          <cell r="J41">
            <v>7.5747132082853205E-2</v>
          </cell>
          <cell r="K41">
            <v>6.0362144981325402E-2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I42">
            <v>0.95961807583019665</v>
          </cell>
          <cell r="J42">
            <v>0.95961818661364862</v>
          </cell>
          <cell r="K42">
            <v>0.48125409008640219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I43">
            <v>1.2818829761744E-5</v>
          </cell>
          <cell r="J43">
            <v>0.12437869692656101</v>
          </cell>
          <cell r="K43">
            <v>0.131600209842754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I44">
            <v>2.435989506612478E-6</v>
          </cell>
          <cell r="J44">
            <v>2.8330680167877874E-4</v>
          </cell>
          <cell r="K44">
            <v>9.1826659089585452E-3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I45">
            <v>4.7701496235726599E-6</v>
          </cell>
          <cell r="J45">
            <v>0.34450015156841102</v>
          </cell>
          <cell r="K45">
            <v>0.344500275841155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I46">
            <v>2.2350530628172884</v>
          </cell>
          <cell r="J46">
            <v>2.2350533381925906</v>
          </cell>
          <cell r="K46">
            <v>1.1208921458518832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I47">
            <v>0.16240233099803142</v>
          </cell>
          <cell r="J47">
            <v>0.18950257361132863</v>
          </cell>
          <cell r="K47">
            <v>0.3472822767672657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I48">
            <v>3.0972403558787924</v>
          </cell>
          <cell r="J48">
            <v>3.0972404690699862</v>
          </cell>
          <cell r="K48">
            <v>1.5532829093311979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I49">
            <v>3.3494661295516273E-5</v>
          </cell>
          <cell r="J49">
            <v>2.9001048179585269E-5</v>
          </cell>
          <cell r="K49">
            <v>2.2400859998283916E-5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9.2198983016976904E-2</v>
          </cell>
          <cell r="K50">
            <v>3.1583855917929719E-2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  <cell r="J51">
            <v>3.4188000442016598E-7</v>
          </cell>
          <cell r="K51">
            <v>4.1287917972344907E-5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I52">
            <v>0.2614441234893064</v>
          </cell>
          <cell r="J52">
            <v>0.40602248278983549</v>
          </cell>
          <cell r="K52">
            <v>0.68499754411535185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I53">
            <v>1.9139095041594001E-5</v>
          </cell>
          <cell r="J53">
            <v>1.6953376811648732E-5</v>
          </cell>
          <cell r="K53">
            <v>6.6033224232516799E-2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I54">
            <v>0.29799051250138581</v>
          </cell>
          <cell r="J54">
            <v>0.3081117210103278</v>
          </cell>
          <cell r="K54">
            <v>0.28765510401300676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I55">
            <v>5.8736982408380003E-5</v>
          </cell>
          <cell r="J55">
            <v>0.123145639907124</v>
          </cell>
          <cell r="K55">
            <v>0.13029221622907899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I56">
            <v>2.3766553263760044E-5</v>
          </cell>
          <cell r="J56">
            <v>1.2985334803480159E-5</v>
          </cell>
          <cell r="K56">
            <v>2.4440795248829302E-4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I57">
            <v>1.9844861497790611</v>
          </cell>
          <cell r="J57">
            <v>1.9844875704874914</v>
          </cell>
          <cell r="K57">
            <v>1.0954680063340492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I58">
            <v>2.6358116945277292E-6</v>
          </cell>
          <cell r="J58">
            <v>3.9703009732030837E-4</v>
          </cell>
          <cell r="K58">
            <v>9.1988032658704613E-3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  <cell r="J59">
            <v>8.9427519599708601E-4</v>
          </cell>
          <cell r="K59">
            <v>1.5286488404008189E-3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  <cell r="J60">
            <v>1.0226756615168068E-2</v>
          </cell>
          <cell r="K60">
            <v>0.19852286826290597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  <cell r="J61">
            <v>5.3604789352614576E-2</v>
          </cell>
          <cell r="K61">
            <v>12.048502691046837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  <cell r="J62">
            <v>9.1298033556618724E-2</v>
          </cell>
          <cell r="K62">
            <v>4.7541179322233864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I63">
            <v>0.1548248164799757</v>
          </cell>
          <cell r="J63">
            <v>0.14876538097788899</v>
          </cell>
          <cell r="K63">
            <v>0.14517663907857356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I64">
            <v>0.49007207563787325</v>
          </cell>
          <cell r="J64">
            <v>0.49007036127170056</v>
          </cell>
          <cell r="K64">
            <v>0.39052499628466764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I65">
            <v>1.5495183347582949E-5</v>
          </cell>
          <cell r="J65">
            <v>1.6029951790218063E-5</v>
          </cell>
          <cell r="K65">
            <v>1.6084879747314986E-5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I66">
            <v>9.3132476476501171</v>
          </cell>
          <cell r="J66">
            <v>7.1302877669761395</v>
          </cell>
          <cell r="K66">
            <v>16.777154131578719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  <cell r="K67">
            <v>3.0412724406769061E-2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  <cell r="J68">
            <v>2.7261136708672776E-3</v>
          </cell>
          <cell r="K68">
            <v>8.8524107315973936E-3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  <cell r="K69">
            <v>7.9652348670088884E-4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  <cell r="K70">
            <v>4.1805681410213253E-4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I71">
            <v>13.310510651092775</v>
          </cell>
          <cell r="J71">
            <v>12.789975837468916</v>
          </cell>
          <cell r="K71">
            <v>12.481462483065034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  <cell r="J72">
            <v>4.1832054938789896E-4</v>
          </cell>
          <cell r="K72">
            <v>4.2720785651148032E-4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I73">
            <v>13.310510651092775</v>
          </cell>
          <cell r="J73">
            <v>12.789572324641933</v>
          </cell>
          <cell r="K73">
            <v>12.481043056783657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  <cell r="J74">
            <v>1.8132547190014285E-4</v>
          </cell>
          <cell r="K74">
            <v>3.5199090117536474E-3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I75">
            <v>2.2817417224344752E-4</v>
          </cell>
          <cell r="J75">
            <v>2.0654111426069856E-4</v>
          </cell>
          <cell r="K75">
            <v>8.0227041170438467E-4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I77">
            <v>6.8595662433405405E-3</v>
          </cell>
          <cell r="J77">
            <v>5.8512834444727222E-3</v>
          </cell>
          <cell r="K77">
            <v>2.490931106825543E-4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I78">
            <v>11.415165704948881</v>
          </cell>
          <cell r="J78">
            <v>6.6410796424064795</v>
          </cell>
          <cell r="K78">
            <v>2.9711970591253691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I79">
            <v>23.709137116250719</v>
          </cell>
          <cell r="J79">
            <v>13.447927098560859</v>
          </cell>
          <cell r="K79">
            <v>7.2188356658756083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I80">
            <v>10.276450613817683</v>
          </cell>
          <cell r="J80">
            <v>6.6211257690619369</v>
          </cell>
          <cell r="K80">
            <v>3.745947823437067E-4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I82">
            <v>373.83322957238499</v>
          </cell>
          <cell r="J82">
            <v>323.55532719103201</v>
          </cell>
          <cell r="K82">
            <v>2.3952273584322499E-4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I83">
            <v>0.38687953612440601</v>
          </cell>
          <cell r="J83">
            <v>0.33001238626826201</v>
          </cell>
          <cell r="K83">
            <v>1.40488514424961E-2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I84">
            <v>643.81534575911701</v>
          </cell>
          <cell r="J84">
            <v>374.55689183172501</v>
          </cell>
          <cell r="K84">
            <v>167.57551413467101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I85">
            <v>1337.19533335654</v>
          </cell>
          <cell r="J85">
            <v>758.46308835883303</v>
          </cell>
          <cell r="K85">
            <v>407.142331555385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I86">
            <v>670.43561785384804</v>
          </cell>
          <cell r="J86">
            <v>271.08226378315902</v>
          </cell>
          <cell r="K86">
            <v>2.4575809990283698E-4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I87">
            <v>1083.89391611919</v>
          </cell>
          <cell r="J87">
            <v>389.59647669807299</v>
          </cell>
          <cell r="K87">
            <v>2.7039262399503299E-4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I88">
            <v>1306.9546665866601</v>
          </cell>
          <cell r="J88">
            <v>513.95910288319203</v>
          </cell>
          <cell r="K88">
            <v>12.048502691046901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  <cell r="K89">
            <v>-3.0412724406768999E-2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I90">
            <v>579.59181461931701</v>
          </cell>
          <cell r="J90">
            <v>373.431493375093</v>
          </cell>
          <cell r="K90">
            <v>2.1127145724185E-2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  <cell r="J91">
            <v>-2.7261136708672802E-3</v>
          </cell>
          <cell r="K91">
            <v>-8.8524107315974005E-3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J92">
            <v>1.2074142164918995E-5</v>
          </cell>
          <cell r="K92">
            <v>8.3049929843598356E-3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I93">
            <v>5.6102461991843375</v>
          </cell>
          <cell r="J93">
            <v>4.9394368073730091</v>
          </cell>
          <cell r="K93">
            <v>0.62259461869172605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  <cell r="J94">
            <v>0.36931319805800145</v>
          </cell>
          <cell r="K94">
            <v>8.8768895921815555E-2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  <cell r="J95">
            <v>0.36929507163660941</v>
          </cell>
          <cell r="K95">
            <v>8.8712472687513214E-2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  <cell r="J96">
            <v>1.8126421391865048E-5</v>
          </cell>
          <cell r="K96">
            <v>5.6423234302378218E-5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  <cell r="J97">
            <v>5.4459871219916988E-6</v>
          </cell>
          <cell r="K97">
            <v>1.7954180085046875E-4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I98">
            <v>2.9711909755119863</v>
          </cell>
          <cell r="J98">
            <v>2.972054483486283</v>
          </cell>
          <cell r="K98">
            <v>3.0231248170845353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  <cell r="K99">
            <v>1.6539366600710024E-3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  <cell r="K100">
            <v>1.0480572193432734E-3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  <cell r="K101">
            <v>6.0587944072772887E-4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I102">
            <v>2.1352203960115923</v>
          </cell>
          <cell r="J102">
            <v>2.1352534586119654</v>
          </cell>
          <cell r="K102">
            <v>6.2786436250739574E-4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I103">
            <v>1.2365951661212822E-5</v>
          </cell>
          <cell r="J103">
            <v>0.92616936621652246</v>
          </cell>
          <cell r="K103">
            <v>0.97994685785546054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I104">
            <v>1.2355896602205449E-5</v>
          </cell>
          <cell r="J104">
            <v>0.92616936621652246</v>
          </cell>
          <cell r="K104">
            <v>0.97994685785546054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I105">
            <v>2.7601913102491284</v>
          </cell>
          <cell r="J105">
            <v>2.8155399739167191</v>
          </cell>
          <cell r="K105">
            <v>3.1736234157674268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J106">
            <v>1.1622196660008724E-5</v>
          </cell>
          <cell r="K106">
            <v>8.3330436640554166E-3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  <cell r="K107">
            <v>1.6592203585226797E-3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I108">
            <v>6.9469566938411441E-5</v>
          </cell>
          <cell r="J108">
            <v>9.093284288422184E-4</v>
          </cell>
          <cell r="K108">
            <v>2.1173284240749219E-4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I109">
            <v>1.4942362774648834E-4</v>
          </cell>
          <cell r="J109">
            <v>2.2135985471149346E-2</v>
          </cell>
          <cell r="K109">
            <v>0.16523428559948686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I110">
            <v>1.5099414701871347E-4</v>
          </cell>
          <cell r="J110">
            <v>3.2896277117664512E-2</v>
          </cell>
          <cell r="K110">
            <v>0.2385792309716723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I111">
            <v>2.7598398051972581</v>
          </cell>
          <cell r="J111">
            <v>2.7598409430056039</v>
          </cell>
          <cell r="K111">
            <v>2.7598429483506042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I112">
            <v>5.0723640376171657</v>
          </cell>
          <cell r="J112">
            <v>4.390167261750773</v>
          </cell>
          <cell r="K112">
            <v>3.2499692787411855E-6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I113">
            <v>9.0968197809206028</v>
          </cell>
          <cell r="J113">
            <v>3.6781853973291523</v>
          </cell>
          <cell r="K113">
            <v>3.3345739471212696E-6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I114">
            <v>14.706837396461159</v>
          </cell>
          <cell r="J114">
            <v>5.2862479877621853</v>
          </cell>
          <cell r="K114">
            <v>3.6688280053600057E-6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I115">
            <v>12.540429083180546</v>
          </cell>
          <cell r="J115">
            <v>14.633301323128478</v>
          </cell>
          <cell r="K115">
            <v>26.81709711646576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I116">
            <v>6.9130805147483024E-3</v>
          </cell>
          <cell r="J116">
            <v>6.6452673399915365E-3</v>
          </cell>
          <cell r="K116">
            <v>4.5122441612631279E-4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I117">
            <v>7.986964927778204</v>
          </cell>
          <cell r="J117">
            <v>8.1962986468688825</v>
          </cell>
          <cell r="K117">
            <v>11.297863950878183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  <cell r="J118">
            <v>7.2635215924952068E-4</v>
          </cell>
          <cell r="K118">
            <v>0.16325884405212523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I119">
            <v>17.709412826377505</v>
          </cell>
          <cell r="J119">
            <v>6.9642154862221188</v>
          </cell>
          <cell r="K119">
            <v>0.16325884405212523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I120">
            <v>10.858153656976414</v>
          </cell>
          <cell r="J120">
            <v>11.287304822417072</v>
          </cell>
          <cell r="K120">
            <v>11.849421680309014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I121">
            <v>11.37895012877707</v>
          </cell>
          <cell r="J121">
            <v>6.6418681105313029</v>
          </cell>
          <cell r="K121">
            <v>3.1262942109901775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I122">
            <v>1.126862915663247E-5</v>
          </cell>
          <cell r="J122">
            <v>2.5572170835360932E-5</v>
          </cell>
          <cell r="K122">
            <v>6.2104248319216833E-5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I123">
            <v>5.1836575589550275E-5</v>
          </cell>
          <cell r="J123">
            <v>1.6340718849108182</v>
          </cell>
          <cell r="K123">
            <v>1.9380277472715859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I124">
            <v>8.1574510614660135E-6</v>
          </cell>
          <cell r="J124">
            <v>1.5167743064399881E-5</v>
          </cell>
          <cell r="K124">
            <v>2.3408198586953438E-5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1.0512576066457957E-5</v>
          </cell>
          <cell r="J125">
            <v>1.5218723740107072E-5</v>
          </cell>
          <cell r="K125">
            <v>5.49583415270488E-5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2.1897919304993936E-5</v>
          </cell>
          <cell r="J126">
            <v>1.6340159262731788</v>
          </cell>
          <cell r="K126">
            <v>1.9378872764831494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  <cell r="K127">
            <v>7.9652348670088884E-4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I128">
            <v>1.1334670524731578E-5</v>
          </cell>
          <cell r="J128">
            <v>3.6101361644271447E-5</v>
          </cell>
          <cell r="K128">
            <v>6.2409185883740263E-5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I129">
            <v>5.1334128439298436E-5</v>
          </cell>
          <cell r="J129">
            <v>1.6177312328542606</v>
          </cell>
          <cell r="K129">
            <v>1.9186474966101323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I130">
            <v>2.0329878886248241E-5</v>
          </cell>
          <cell r="J130">
            <v>0.71153539404846</v>
          </cell>
          <cell r="K130">
            <v>1.9171940885591792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1.1815552851821172E-5</v>
          </cell>
          <cell r="J131">
            <v>0.90610541989422277</v>
          </cell>
          <cell r="K131">
            <v>5.588218430010845E-5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7.8540261764973928E-6</v>
          </cell>
          <cell r="J132">
            <v>5.4317549940820281E-5</v>
          </cell>
          <cell r="K132">
            <v>1.3351166807675002E-3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  <cell r="J133">
            <v>3.1175002270564613</v>
          </cell>
          <cell r="K133">
            <v>3.1175009709531154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  <cell r="J134">
            <v>2.4714362486449994</v>
          </cell>
          <cell r="K134">
            <v>0.79841225418761985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  <cell r="K135">
            <v>4.1805681410213253E-4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I136">
            <v>7.0081527548009612</v>
          </cell>
          <cell r="J136">
            <v>3.6105632439231683</v>
          </cell>
          <cell r="K136">
            <v>13.027030340987514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I137">
            <v>1.2232337636183395E-5</v>
          </cell>
          <cell r="J137">
            <v>0.91690767255435712</v>
          </cell>
          <cell r="K137">
            <v>0.97014738927690558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I138">
            <v>1.126862915663247E-5</v>
          </cell>
          <cell r="J138">
            <v>2.5572170835360932E-5</v>
          </cell>
          <cell r="K138">
            <v>6.2104248319216833E-5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I139">
            <v>5.1836575589550275E-5</v>
          </cell>
          <cell r="J139">
            <v>1.6340718849108182</v>
          </cell>
          <cell r="K139">
            <v>1.9380277472715859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I140">
            <v>8.1574510614660135E-6</v>
          </cell>
          <cell r="J140">
            <v>1.5167743064399881E-5</v>
          </cell>
          <cell r="K140">
            <v>2.3408198586953438E-5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1.0512576066457957E-5</v>
          </cell>
          <cell r="J141">
            <v>1.5218723740107072E-5</v>
          </cell>
          <cell r="K141">
            <v>5.49583415270488E-5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2.1897919304993936E-5</v>
          </cell>
          <cell r="J142">
            <v>1.6340159262731788</v>
          </cell>
          <cell r="K142">
            <v>1.9378872764831494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  <cell r="J143">
            <v>2.354876258443417E-4</v>
          </cell>
          <cell r="K143">
            <v>4.5713104048748735E-3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  <cell r="K144">
            <v>1.7462502603428519E-4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I145">
            <v>2.8955613782530192E-5</v>
          </cell>
          <cell r="J145">
            <v>4.2285891414205159E-5</v>
          </cell>
          <cell r="K145">
            <v>7.2314044371502152E-6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  <cell r="J146">
            <v>1.0376459417850298E-3</v>
          </cell>
          <cell r="K146">
            <v>0.23322692007446499</v>
          </cell>
        </row>
        <row r="147">
          <cell r="A147" t="str">
            <v>H2</v>
          </cell>
          <cell r="B147" t="str">
            <v>VAR_fin</v>
          </cell>
          <cell r="C147" t="str">
            <v>D-SNGA</v>
          </cell>
          <cell r="I147">
            <v>7.2425175733419468E-4</v>
          </cell>
          <cell r="J147">
            <v>1.3387455593551135E-2</v>
          </cell>
          <cell r="K147">
            <v>7.7499635055237508E-3</v>
          </cell>
        </row>
        <row r="148">
          <cell r="A148" t="str">
            <v>H2</v>
          </cell>
          <cell r="B148" t="str">
            <v>VAR_fin</v>
          </cell>
          <cell r="C148" t="str">
            <v>D-RNGA</v>
          </cell>
          <cell r="I148">
            <v>8.6202287964637445E-4</v>
          </cell>
          <cell r="J148">
            <v>3.5217189645277563E-2</v>
          </cell>
          <cell r="K148">
            <v>2.0731776617584168E-2</v>
          </cell>
        </row>
        <row r="149">
          <cell r="A149" t="str">
            <v>H2</v>
          </cell>
          <cell r="B149" t="str">
            <v>VAR_fin</v>
          </cell>
          <cell r="C149" t="str">
            <v>D-INGA</v>
          </cell>
          <cell r="I149">
            <v>0.38279517288004872</v>
          </cell>
          <cell r="J149">
            <v>0.28591475058392463</v>
          </cell>
          <cell r="K149">
            <v>8.5005491379132589E-2</v>
          </cell>
        </row>
        <row r="150">
          <cell r="A150" t="str">
            <v>H2</v>
          </cell>
          <cell r="B150" t="str">
            <v>VAR_fin</v>
          </cell>
          <cell r="C150" t="str">
            <v>SUP_H2DSL</v>
          </cell>
          <cell r="J150">
            <v>2.1474816191517747E-3</v>
          </cell>
          <cell r="K150">
            <v>0.11182476201306339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I151">
            <v>1.1334670524731578E-5</v>
          </cell>
          <cell r="J151">
            <v>3.6101361644271447E-5</v>
          </cell>
          <cell r="K151">
            <v>6.2409185883740263E-5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I152">
            <v>5.1334128439298436E-5</v>
          </cell>
          <cell r="J152">
            <v>1.6177312328542606</v>
          </cell>
          <cell r="K152">
            <v>1.9186474966101363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I153">
            <v>2.0329878886248241E-5</v>
          </cell>
          <cell r="J153">
            <v>0.71153539404846011</v>
          </cell>
          <cell r="K153">
            <v>1.9171940885591829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1.1815552851821172E-5</v>
          </cell>
          <cell r="J154">
            <v>0.90610541989422277</v>
          </cell>
          <cell r="K154">
            <v>5.588218430010845E-5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7.8540261764973928E-6</v>
          </cell>
          <cell r="J155">
            <v>5.4317549940820281E-5</v>
          </cell>
          <cell r="K155">
            <v>1.3351166807675002E-3</v>
          </cell>
        </row>
        <row r="156">
          <cell r="A156" t="str">
            <v>RNGA</v>
          </cell>
          <cell r="B156" t="str">
            <v>VAR_fout</v>
          </cell>
          <cell r="C156" t="str">
            <v>D-RNGA</v>
          </cell>
          <cell r="I156">
            <v>23.63376807292347</v>
          </cell>
          <cell r="J156">
            <v>13.437695010708632</v>
          </cell>
          <cell r="K156">
            <v>7.4335370996664247</v>
          </cell>
        </row>
        <row r="157">
          <cell r="A157" t="str">
            <v>CWOD</v>
          </cell>
          <cell r="B157" t="str">
            <v>VAR_fout</v>
          </cell>
          <cell r="C157" t="str">
            <v>D-CWOD</v>
          </cell>
          <cell r="I157">
            <v>7.986964927778204</v>
          </cell>
          <cell r="J157">
            <v>8.1962986468688825</v>
          </cell>
          <cell r="K157">
            <v>11.297863950878183</v>
          </cell>
        </row>
        <row r="158">
          <cell r="A158" t="str">
            <v>CWOD</v>
          </cell>
          <cell r="B158" t="str">
            <v>VAR_fin</v>
          </cell>
          <cell r="C158" t="str">
            <v>SUP_WODBIO</v>
          </cell>
          <cell r="I158">
            <v>5.2296243798092396E-4</v>
          </cell>
          <cell r="J158">
            <v>5.4101087291985844E-4</v>
          </cell>
          <cell r="K158">
            <v>5.4317543985710442E-4</v>
          </cell>
        </row>
        <row r="159">
          <cell r="A159" t="str">
            <v>CWOD</v>
          </cell>
          <cell r="B159" t="str">
            <v>VAR_fin</v>
          </cell>
          <cell r="C159" t="str">
            <v>CT_CWODBDS</v>
          </cell>
          <cell r="I159">
            <v>1.7119483127383181E-4</v>
          </cell>
          <cell r="J159">
            <v>2.0498709326036512E-4</v>
          </cell>
          <cell r="K159">
            <v>3.6286172394626566</v>
          </cell>
        </row>
        <row r="160">
          <cell r="A160" t="str">
            <v>CWOD</v>
          </cell>
          <cell r="B160" t="str">
            <v>VAR_fin</v>
          </cell>
          <cell r="C160" t="str">
            <v>CT_CWODPLT</v>
          </cell>
          <cell r="I160">
            <v>7.9861641484937769</v>
          </cell>
          <cell r="J160">
            <v>8.1954923887640891</v>
          </cell>
          <cell r="K160">
            <v>7.6642215266274674</v>
          </cell>
        </row>
        <row r="161">
          <cell r="A161" t="str">
            <v>CWOD</v>
          </cell>
          <cell r="B161" t="str">
            <v>VAR_fin</v>
          </cell>
          <cell r="C161" t="str">
            <v>CT_CWODETH</v>
          </cell>
          <cell r="I161">
            <v>1.0662201517607062E-4</v>
          </cell>
          <cell r="J161">
            <v>6.0260138615730699E-5</v>
          </cell>
          <cell r="K161">
            <v>4.4955864737974841E-3</v>
          </cell>
        </row>
        <row r="162">
          <cell r="A162" t="str">
            <v>KER</v>
          </cell>
          <cell r="B162" t="str">
            <v>VAR_fout</v>
          </cell>
          <cell r="C162" t="str">
            <v>SUP_H2DSL</v>
          </cell>
          <cell r="J162">
            <v>1.1104504719499259E-4</v>
          </cell>
          <cell r="K162">
            <v>1.4935603219725714E-6</v>
          </cell>
        </row>
        <row r="163">
          <cell r="A163" t="str">
            <v>BDS</v>
          </cell>
          <cell r="B163" t="str">
            <v>VAR_fout</v>
          </cell>
          <cell r="C163" t="str">
            <v>IMPBDS</v>
          </cell>
          <cell r="I163">
            <v>3.6497564723135554</v>
          </cell>
          <cell r="J163">
            <v>3.651338258221676</v>
          </cell>
          <cell r="K163">
            <v>4.8054361040994404</v>
          </cell>
        </row>
        <row r="164">
          <cell r="A164" t="str">
            <v>BDS</v>
          </cell>
          <cell r="B164" t="str">
            <v>VAR_fout</v>
          </cell>
          <cell r="C164" t="str">
            <v>CT_CWODBDS</v>
          </cell>
          <cell r="I164">
            <v>6.0078902008714536E-5</v>
          </cell>
          <cell r="J164">
            <v>7.1937916567947028E-5</v>
          </cell>
          <cell r="K164">
            <v>1.2734224388358151</v>
          </cell>
        </row>
        <row r="165">
          <cell r="A165" t="str">
            <v>BDS</v>
          </cell>
          <cell r="B165" t="str">
            <v>VAR_fin</v>
          </cell>
          <cell r="C165" t="str">
            <v>D-ILFO</v>
          </cell>
          <cell r="I165">
            <v>0.63317125007631136</v>
          </cell>
          <cell r="J165">
            <v>0.63317148751601582</v>
          </cell>
          <cell r="K165">
            <v>0.63317172430976665</v>
          </cell>
        </row>
        <row r="166">
          <cell r="A166" t="str">
            <v>BDS</v>
          </cell>
          <cell r="B166" t="str">
            <v>VAR_fin</v>
          </cell>
          <cell r="C166" t="str">
            <v>D-SLFO</v>
          </cell>
          <cell r="I166">
            <v>2.8653968476405323E-4</v>
          </cell>
          <cell r="J166">
            <v>3.6085216208193847E-4</v>
          </cell>
          <cell r="K166">
            <v>0.20716648112306693</v>
          </cell>
        </row>
        <row r="167">
          <cell r="A167" t="str">
            <v>BDS</v>
          </cell>
          <cell r="B167" t="str">
            <v>VAR_fin</v>
          </cell>
          <cell r="C167" t="str">
            <v>D-RLFO</v>
          </cell>
          <cell r="I167">
            <v>2.8713201653246014E-4</v>
          </cell>
          <cell r="J167">
            <v>3.6454437293291606E-4</v>
          </cell>
          <cell r="K167">
            <v>0.45431932195887426</v>
          </cell>
        </row>
        <row r="168">
          <cell r="A168" t="str">
            <v>BDS</v>
          </cell>
          <cell r="B168" t="str">
            <v>VAR_fin</v>
          </cell>
          <cell r="C168" t="str">
            <v>D-TBDS1</v>
          </cell>
          <cell r="I168">
            <v>3.0160779149380259</v>
          </cell>
          <cell r="J168">
            <v>3.0175224108050172</v>
          </cell>
          <cell r="K168">
            <v>4.7842073920661266</v>
          </cell>
        </row>
        <row r="169">
          <cell r="A169" t="str">
            <v>BIO</v>
          </cell>
          <cell r="B169" t="str">
            <v>VAR_fout</v>
          </cell>
          <cell r="C169" t="str">
            <v>SUP_WSTHTGBIO</v>
          </cell>
          <cell r="J169">
            <v>2.9282438457152926E-4</v>
          </cell>
          <cell r="K169">
            <v>2.9904549955803644E-4</v>
          </cell>
        </row>
        <row r="170">
          <cell r="A170" t="str">
            <v>BIO</v>
          </cell>
          <cell r="B170" t="str">
            <v>VAR_fout</v>
          </cell>
          <cell r="C170" t="str">
            <v>SUP_WSTBIO</v>
          </cell>
          <cell r="I170">
            <v>7.7412408239987913</v>
          </cell>
          <cell r="J170">
            <v>7.4382690488944387</v>
          </cell>
          <cell r="K170">
            <v>7.2588319539286807</v>
          </cell>
        </row>
        <row r="171">
          <cell r="A171" t="str">
            <v>BIO</v>
          </cell>
          <cell r="B171" t="str">
            <v>VAR_fout</v>
          </cell>
          <cell r="C171" t="str">
            <v>D-LBIO</v>
          </cell>
          <cell r="I171">
            <v>2.1352203960115923</v>
          </cell>
          <cell r="J171">
            <v>2.1352534586119654</v>
          </cell>
          <cell r="K171">
            <v>6.2786436250739574E-4</v>
          </cell>
        </row>
        <row r="172">
          <cell r="A172" t="str">
            <v>BIO</v>
          </cell>
          <cell r="B172" t="str">
            <v>VAR_fout</v>
          </cell>
          <cell r="C172" t="str">
            <v>SUP_MNRBIO</v>
          </cell>
          <cell r="I172">
            <v>4.384765413699502</v>
          </cell>
          <cell r="J172">
            <v>5.1165389241708015</v>
          </cell>
          <cell r="K172">
            <v>9.3766073833796444</v>
          </cell>
        </row>
        <row r="173">
          <cell r="A173" t="str">
            <v>BIO</v>
          </cell>
          <cell r="B173" t="str">
            <v>VAR_fout</v>
          </cell>
          <cell r="C173" t="str">
            <v>SUP_WODBIO</v>
          </cell>
          <cell r="I173">
            <v>3.8737958368957316E-4</v>
          </cell>
          <cell r="J173">
            <v>4.0074879475545056E-4</v>
          </cell>
          <cell r="K173">
            <v>4.0235217767192895E-4</v>
          </cell>
        </row>
        <row r="174">
          <cell r="A174" t="str">
            <v>BIO</v>
          </cell>
          <cell r="B174" t="str">
            <v>VAR_fin</v>
          </cell>
          <cell r="C174" t="str">
            <v>D-IBIO</v>
          </cell>
          <cell r="I174">
            <v>10.858153656976414</v>
          </cell>
          <cell r="J174">
            <v>11.287304822417072</v>
          </cell>
          <cell r="K174">
            <v>11.849421680309014</v>
          </cell>
        </row>
        <row r="175">
          <cell r="A175" t="str">
            <v>BIO</v>
          </cell>
          <cell r="B175" t="str">
            <v>VAR_fin</v>
          </cell>
          <cell r="C175" t="str">
            <v>D-EBIO</v>
          </cell>
          <cell r="I175">
            <v>1.1839527822887959</v>
          </cell>
          <cell r="J175">
            <v>1.1839542283685418</v>
          </cell>
          <cell r="K175">
            <v>1.1839449157400155</v>
          </cell>
        </row>
        <row r="176">
          <cell r="A176" t="str">
            <v>BIO</v>
          </cell>
          <cell r="B176" t="str">
            <v>VAR_fin</v>
          </cell>
          <cell r="C176" t="str">
            <v>D-CBIO</v>
          </cell>
          <cell r="I176">
            <v>3.0243682142333221</v>
          </cell>
          <cell r="J176">
            <v>3.0850142783213372</v>
          </cell>
          <cell r="K176">
            <v>3.4773697558403254</v>
          </cell>
        </row>
        <row r="177">
          <cell r="A177" t="str">
            <v>BIO</v>
          </cell>
          <cell r="B177" t="str">
            <v>VAR_fin</v>
          </cell>
          <cell r="C177" t="str">
            <v>D-SBIO</v>
          </cell>
          <cell r="I177">
            <v>2.9902820040172191</v>
          </cell>
          <cell r="J177">
            <v>2.9557921181245734</v>
          </cell>
          <cell r="K177">
            <v>2.8715708729096066</v>
          </cell>
        </row>
        <row r="178">
          <cell r="A178" t="str">
            <v>TKERintl_SAF</v>
          </cell>
          <cell r="B178" t="str">
            <v>VAR_fout</v>
          </cell>
          <cell r="C178" t="str">
            <v>D-TBDS1intl</v>
          </cell>
          <cell r="I178">
            <v>16.480768587237598</v>
          </cell>
          <cell r="J178">
            <v>27.807059383641899</v>
          </cell>
          <cell r="K178">
            <v>75.9221358796825</v>
          </cell>
        </row>
        <row r="179">
          <cell r="A179" t="str">
            <v>EBIO</v>
          </cell>
          <cell r="B179" t="str">
            <v>VAR_fout</v>
          </cell>
          <cell r="C179" t="str">
            <v>D-EBIO</v>
          </cell>
          <cell r="I179">
            <v>1.1839527822887959</v>
          </cell>
          <cell r="J179">
            <v>1.1839542283685418</v>
          </cell>
          <cell r="K179">
            <v>1.1839449157400155</v>
          </cell>
        </row>
        <row r="180">
          <cell r="A180" t="str">
            <v>PLT</v>
          </cell>
          <cell r="B180" t="str">
            <v>VAR_fout</v>
          </cell>
          <cell r="C180" t="str">
            <v>CT_CWODPLT</v>
          </cell>
          <cell r="I180">
            <v>6.7083778847347704</v>
          </cell>
          <cell r="J180">
            <v>6.8842136065618291</v>
          </cell>
          <cell r="K180">
            <v>6.4379460823670707</v>
          </cell>
        </row>
        <row r="181">
          <cell r="A181" t="str">
            <v>SLFO</v>
          </cell>
          <cell r="B181" t="str">
            <v>VAR_fout</v>
          </cell>
          <cell r="C181" t="str">
            <v>D-SLFO</v>
          </cell>
          <cell r="I181">
            <v>8.9451736253593328</v>
          </cell>
          <cell r="J181">
            <v>3.6171092442199253</v>
          </cell>
          <cell r="K181">
            <v>0.20370887628180395</v>
          </cell>
        </row>
        <row r="182">
          <cell r="A182" t="str">
            <v>ETH</v>
          </cell>
          <cell r="B182" t="str">
            <v>VAR_fout</v>
          </cell>
          <cell r="C182" t="str">
            <v>IMPETH</v>
          </cell>
          <cell r="I182">
            <v>1.0260228698292468</v>
          </cell>
          <cell r="J182">
            <v>0.99829868041823822</v>
          </cell>
          <cell r="K182">
            <v>0.91999887324786545</v>
          </cell>
        </row>
        <row r="183">
          <cell r="A183" t="str">
            <v>ETH</v>
          </cell>
          <cell r="B183" t="str">
            <v>VAR_fout</v>
          </cell>
          <cell r="C183" t="str">
            <v>CT_CWODETH</v>
          </cell>
          <cell r="I183">
            <v>5.101531826606251E-5</v>
          </cell>
          <cell r="J183">
            <v>2.8832602208483612E-5</v>
          </cell>
          <cell r="K183">
            <v>2.1509983128217614E-3</v>
          </cell>
        </row>
        <row r="184">
          <cell r="A184" t="str">
            <v>ETH</v>
          </cell>
          <cell r="B184" t="str">
            <v>VAR_fin</v>
          </cell>
          <cell r="C184" t="str">
            <v>D-TGSL</v>
          </cell>
          <cell r="I184">
            <v>1.0260738851475135</v>
          </cell>
          <cell r="J184">
            <v>0.99832751302044731</v>
          </cell>
          <cell r="K184">
            <v>0.92214987156068717</v>
          </cell>
        </row>
        <row r="185">
          <cell r="A185" t="str">
            <v>TGSL</v>
          </cell>
          <cell r="B185" t="str">
            <v>VAR_fout</v>
          </cell>
          <cell r="C185" t="str">
            <v>D-TGSL</v>
          </cell>
          <cell r="I185">
            <v>18.460148036648548</v>
          </cell>
          <cell r="J185">
            <v>7.8455233646636495</v>
          </cell>
          <cell r="K185">
            <v>1.0694565046057962</v>
          </cell>
        </row>
        <row r="186">
          <cell r="A186" t="str">
            <v>RLFO</v>
          </cell>
          <cell r="B186" t="str">
            <v>VAR_fout</v>
          </cell>
          <cell r="C186" t="str">
            <v>D-RLFO</v>
          </cell>
          <cell r="I186">
            <v>14.461498306461246</v>
          </cell>
          <cell r="J186">
            <v>5.1983198488799074</v>
          </cell>
          <cell r="K186">
            <v>0.44673267527185878</v>
          </cell>
        </row>
        <row r="187">
          <cell r="A187" t="str">
            <v>CELC_E</v>
          </cell>
          <cell r="B187" t="str">
            <v>VAR_fout</v>
          </cell>
          <cell r="C187" t="str">
            <v>ESOL-PV_E</v>
          </cell>
          <cell r="I187">
            <v>1.6457399526559211E-5</v>
          </cell>
          <cell r="J187">
            <v>1.1950572467309968</v>
          </cell>
          <cell r="K187">
            <v>1.1950571437261717</v>
          </cell>
        </row>
        <row r="188">
          <cell r="A188" t="str">
            <v>CELC_E</v>
          </cell>
          <cell r="B188" t="str">
            <v>VAR_fin</v>
          </cell>
          <cell r="C188" t="str">
            <v>SUP_ELCH2_D</v>
          </cell>
          <cell r="I188">
            <v>1.6433158353771187E-5</v>
          </cell>
          <cell r="J188">
            <v>1.1950572467309968</v>
          </cell>
          <cell r="K188">
            <v>1.1950571437261717</v>
          </cell>
        </row>
        <row r="189">
          <cell r="A189" t="str">
            <v>CBIO</v>
          </cell>
          <cell r="B189" t="str">
            <v>VAR_fout</v>
          </cell>
          <cell r="C189" t="str">
            <v>D-CBIO</v>
          </cell>
          <cell r="I189">
            <v>3.0243682142333221</v>
          </cell>
          <cell r="J189">
            <v>3.0850142783213372</v>
          </cell>
          <cell r="K189">
            <v>3.4773697558403254</v>
          </cell>
        </row>
        <row r="190">
          <cell r="A190" t="str">
            <v>CBIO</v>
          </cell>
          <cell r="B190" t="str">
            <v>VAR_fin</v>
          </cell>
          <cell r="C190" t="str">
            <v>SUP_BIONGA</v>
          </cell>
          <cell r="I190">
            <v>3.0243682142333221</v>
          </cell>
          <cell r="J190">
            <v>3.0850142783213372</v>
          </cell>
          <cell r="K190">
            <v>3.4773697558403254</v>
          </cell>
        </row>
        <row r="191">
          <cell r="A191" t="str">
            <v>RSH2</v>
          </cell>
          <cell r="B191" t="str">
            <v>VAR_fout</v>
          </cell>
          <cell r="C191" t="str">
            <v>D-SNGA</v>
          </cell>
          <cell r="I191">
            <v>7.2451328750970006E-4</v>
          </cell>
          <cell r="J191">
            <v>1.3388487607128191E-2</v>
          </cell>
          <cell r="K191">
            <v>7.7523970874605894E-3</v>
          </cell>
        </row>
        <row r="192">
          <cell r="A192" t="str">
            <v>RSH2</v>
          </cell>
          <cell r="B192" t="str">
            <v>VAR_fout</v>
          </cell>
          <cell r="C192" t="str">
            <v>D-RNGA</v>
          </cell>
          <cell r="I192">
            <v>8.6228675848269763E-4</v>
          </cell>
          <cell r="J192">
            <v>3.5218705855762082E-2</v>
          </cell>
          <cell r="K192">
            <v>2.0733695680469177E-2</v>
          </cell>
        </row>
        <row r="193">
          <cell r="A193" t="str">
            <v>LTH</v>
          </cell>
          <cell r="B193" t="str">
            <v>VAR_fout</v>
          </cell>
          <cell r="C193" t="str">
            <v>SUP_WODBIO</v>
          </cell>
          <cell r="I193">
            <v>4.6485550042748849E-5</v>
          </cell>
          <cell r="J193">
            <v>4.8089855370654102E-5</v>
          </cell>
          <cell r="K193">
            <v>4.8282261320631512E-5</v>
          </cell>
        </row>
        <row r="194">
          <cell r="A194" t="str">
            <v>LTH</v>
          </cell>
          <cell r="B194" t="str">
            <v>VAR_fout</v>
          </cell>
          <cell r="C194" t="str">
            <v>CT_CWODBDS</v>
          </cell>
          <cell r="I194">
            <v>2.3430771783398632E-5</v>
          </cell>
          <cell r="J194">
            <v>2.8055787461499326E-5</v>
          </cell>
          <cell r="K194">
            <v>0.49663475114596767</v>
          </cell>
        </row>
        <row r="195">
          <cell r="A195" t="str">
            <v>LTH</v>
          </cell>
          <cell r="B195" t="str">
            <v>VAR_fin</v>
          </cell>
          <cell r="C195" t="str">
            <v>D-CHEAT</v>
          </cell>
          <cell r="J195">
            <v>8.8940620522797044E-5</v>
          </cell>
          <cell r="K195">
            <v>2.7070350815324027E-2</v>
          </cell>
        </row>
        <row r="196">
          <cell r="A196" t="str">
            <v>LNGA</v>
          </cell>
          <cell r="B196" t="str">
            <v>VAR_fin</v>
          </cell>
          <cell r="C196" t="str">
            <v>D-LNGA</v>
          </cell>
          <cell r="I196">
            <v>2.2817417224344752E-4</v>
          </cell>
          <cell r="J196">
            <v>2.0654111426069856E-4</v>
          </cell>
          <cell r="K196">
            <v>8.0227041170438467E-4</v>
          </cell>
        </row>
        <row r="197">
          <cell r="A197" t="str">
            <v>IH2</v>
          </cell>
          <cell r="B197" t="str">
            <v>VAR_fout</v>
          </cell>
          <cell r="C197" t="str">
            <v>D-INGA</v>
          </cell>
          <cell r="I197">
            <v>0.38279572770439224</v>
          </cell>
          <cell r="J197">
            <v>0.28591475058406557</v>
          </cell>
          <cell r="K197">
            <v>8.5010535855559663E-2</v>
          </cell>
        </row>
        <row r="198">
          <cell r="A198" t="str">
            <v>WHEAT</v>
          </cell>
          <cell r="B198" t="str">
            <v>VAR_fin</v>
          </cell>
          <cell r="C198" t="str">
            <v>D-CHEAT</v>
          </cell>
          <cell r="J198">
            <v>0.36922711755351234</v>
          </cell>
          <cell r="K198">
            <v>6.1701758491786288E-2</v>
          </cell>
        </row>
        <row r="199">
          <cell r="A199" t="str">
            <v>SOL</v>
          </cell>
          <cell r="B199" t="str">
            <v>VAR_fin</v>
          </cell>
          <cell r="C199" t="str">
            <v>ESOL-PV_A</v>
          </cell>
          <cell r="I199">
            <v>0.49007207563787325</v>
          </cell>
          <cell r="J199">
            <v>0.49007036127170056</v>
          </cell>
          <cell r="K199">
            <v>0.39052499628466764</v>
          </cell>
        </row>
        <row r="200">
          <cell r="A200" t="str">
            <v>SOL</v>
          </cell>
          <cell r="B200" t="str">
            <v>VAR_fin</v>
          </cell>
          <cell r="C200" t="str">
            <v>ESOL-PV_E</v>
          </cell>
          <cell r="I200">
            <v>1.6457399526559211E-5</v>
          </cell>
          <cell r="J200">
            <v>1.1950572467309968</v>
          </cell>
          <cell r="K200">
            <v>1.1950571437261717</v>
          </cell>
        </row>
        <row r="201">
          <cell r="A201" t="str">
            <v>TKER</v>
          </cell>
          <cell r="B201" t="str">
            <v>VAR_fout</v>
          </cell>
          <cell r="C201" t="str">
            <v>D-TBDS1</v>
          </cell>
          <cell r="I201">
            <v>5.6230283929068197E-4</v>
          </cell>
          <cell r="J201">
            <v>1.1235801795482501E-3</v>
          </cell>
          <cell r="K201">
            <v>1.6907743275929401</v>
          </cell>
        </row>
        <row r="202">
          <cell r="A202" t="str">
            <v>BDS1</v>
          </cell>
          <cell r="B202" t="str">
            <v>VAR_fout</v>
          </cell>
          <cell r="C202" t="str">
            <v>IMPBDS1</v>
          </cell>
          <cell r="I202">
            <v>16.480768587237598</v>
          </cell>
          <cell r="J202">
            <v>27.807059383641899</v>
          </cell>
          <cell r="K202">
            <v>75.9221358796825</v>
          </cell>
        </row>
        <row r="203">
          <cell r="A203" t="str">
            <v>BDS1</v>
          </cell>
          <cell r="B203" t="str">
            <v>VAR_fin</v>
          </cell>
          <cell r="C203" t="str">
            <v>D-TBDS1intl</v>
          </cell>
          <cell r="I203">
            <v>16.480768587237598</v>
          </cell>
          <cell r="J203">
            <v>27.807059383641899</v>
          </cell>
          <cell r="K203">
            <v>75.9221358796825</v>
          </cell>
        </row>
        <row r="204">
          <cell r="A204" t="str">
            <v>CELC</v>
          </cell>
          <cell r="B204" t="str">
            <v>VAR_fout</v>
          </cell>
          <cell r="C204" t="str">
            <v>D-CELC</v>
          </cell>
          <cell r="I204">
            <v>9.3132476476501171</v>
          </cell>
          <cell r="J204">
            <v>7.1302877669761395</v>
          </cell>
          <cell r="K204">
            <v>16.777154131578719</v>
          </cell>
        </row>
        <row r="205">
          <cell r="A205" t="str">
            <v>CELC</v>
          </cell>
          <cell r="B205" t="str">
            <v>VAR_fin</v>
          </cell>
          <cell r="C205" t="str">
            <v>SUP_H2NGA</v>
          </cell>
          <cell r="J205">
            <v>4.170485853703291E-6</v>
          </cell>
          <cell r="K205">
            <v>8.0957907270334033E-5</v>
          </cell>
        </row>
        <row r="206">
          <cell r="A206" t="str">
            <v>CELC</v>
          </cell>
          <cell r="B206" t="str">
            <v>VAR_fin</v>
          </cell>
          <cell r="C206" t="str">
            <v>SUP_ELCH2_SOEC</v>
          </cell>
          <cell r="J206">
            <v>2.4714362486449994</v>
          </cell>
          <cell r="K206">
            <v>0.79841225418761985</v>
          </cell>
        </row>
        <row r="207">
          <cell r="A207" t="str">
            <v>CELC</v>
          </cell>
          <cell r="B207" t="str">
            <v>VAR_fin</v>
          </cell>
          <cell r="C207" t="str">
            <v>SUP_ELCH2</v>
          </cell>
          <cell r="I207">
            <v>9.3131598070444621</v>
          </cell>
          <cell r="J207">
            <v>4.6587912824815074</v>
          </cell>
          <cell r="K207">
            <v>15.886622367057958</v>
          </cell>
        </row>
        <row r="208">
          <cell r="A208" t="str">
            <v>CELC</v>
          </cell>
          <cell r="B208" t="str">
            <v>VAR_fin</v>
          </cell>
          <cell r="C208" t="str">
            <v>CT_CWODBDS</v>
          </cell>
          <cell r="I208">
            <v>4.175483689605657E-6</v>
          </cell>
          <cell r="J208">
            <v>4.999685201472318E-6</v>
          </cell>
          <cell r="K208">
            <v>8.8502859499089134E-2</v>
          </cell>
        </row>
        <row r="209">
          <cell r="A209" t="str">
            <v>CELC</v>
          </cell>
          <cell r="B209" t="str">
            <v>VAR_fin</v>
          </cell>
          <cell r="C209" t="str">
            <v>CT_CWODETH</v>
          </cell>
          <cell r="I209">
            <v>8.3665121956342533E-5</v>
          </cell>
          <cell r="J209">
            <v>4.728546762191308E-5</v>
          </cell>
          <cell r="K209">
            <v>3.5276372330276897E-3</v>
          </cell>
        </row>
        <row r="210">
          <cell r="A210" t="str">
            <v>CELC</v>
          </cell>
          <cell r="B210" t="str">
            <v>VAR_fin</v>
          </cell>
          <cell r="C210" t="str">
            <v>SUP_DAC</v>
          </cell>
          <cell r="J210">
            <v>3.7802109569359576E-6</v>
          </cell>
          <cell r="K210">
            <v>8.0556937657536382E-6</v>
          </cell>
        </row>
        <row r="211">
          <cell r="A211" t="str">
            <v>SBIO</v>
          </cell>
          <cell r="B211" t="str">
            <v>VAR_fout</v>
          </cell>
          <cell r="C211" t="str">
            <v>D-SBIO</v>
          </cell>
          <cell r="I211">
            <v>2.9902820040172191</v>
          </cell>
          <cell r="J211">
            <v>2.9557921181245734</v>
          </cell>
          <cell r="K211">
            <v>2.8715708729096066</v>
          </cell>
        </row>
        <row r="212">
          <cell r="A212" t="str">
            <v>INGA</v>
          </cell>
          <cell r="B212" t="str">
            <v>VAR_fout</v>
          </cell>
          <cell r="C212" t="str">
            <v>D-INGA</v>
          </cell>
          <cell r="I212">
            <v>12.993509467738402</v>
          </cell>
          <cell r="J212">
            <v>9.3501157618188717</v>
          </cell>
          <cell r="K212">
            <v>2.7510776705908873</v>
          </cell>
        </row>
        <row r="213">
          <cell r="A213" t="str">
            <v>DSL</v>
          </cell>
          <cell r="B213" t="str">
            <v>VAR_fout</v>
          </cell>
          <cell r="C213" t="str">
            <v>SUP_H2DSL</v>
          </cell>
          <cell r="J213">
            <v>8.7989831081308832E-4</v>
          </cell>
          <cell r="K213">
            <v>6.4856215709633971E-2</v>
          </cell>
        </row>
        <row r="214">
          <cell r="A214" t="str">
            <v>WSTREN</v>
          </cell>
          <cell r="B214" t="str">
            <v>VAR_fin</v>
          </cell>
          <cell r="C214" t="str">
            <v>D-CWST</v>
          </cell>
          <cell r="I214">
            <v>13.310510651092775</v>
          </cell>
          <cell r="J214">
            <v>12.789975837468916</v>
          </cell>
          <cell r="K214">
            <v>12.481462483065034</v>
          </cell>
        </row>
        <row r="215">
          <cell r="A215" t="str">
            <v>SOLPVC</v>
          </cell>
          <cell r="B215" t="str">
            <v>VAR_fin</v>
          </cell>
          <cell r="C215" t="str">
            <v>ESOL-PV_A</v>
          </cell>
          <cell r="I215">
            <v>0.49007207563787297</v>
          </cell>
          <cell r="J215">
            <v>0.49007036127170001</v>
          </cell>
          <cell r="K215">
            <v>0.39052499628466802</v>
          </cell>
        </row>
        <row r="216">
          <cell r="A216" t="str">
            <v>SOLPVC</v>
          </cell>
          <cell r="B216" t="str">
            <v>VAR_fin</v>
          </cell>
          <cell r="C216" t="str">
            <v>ESOL-PV_E</v>
          </cell>
          <cell r="I216">
            <v>1.6457399526559201E-5</v>
          </cell>
          <cell r="J216">
            <v>1.1950572467309999</v>
          </cell>
          <cell r="K216">
            <v>1.1950571437261699</v>
          </cell>
        </row>
        <row r="217">
          <cell r="A217" t="str">
            <v>KERintl</v>
          </cell>
          <cell r="B217" t="str">
            <v>VAR_fout</v>
          </cell>
          <cell r="C217" t="str">
            <v>SUP_H2DSL</v>
          </cell>
          <cell r="J217">
            <v>2.5486029151457299E-4</v>
          </cell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0.37678804531487869</v>
          </cell>
          <cell r="I8">
            <v>0.37167749706226599</v>
          </cell>
          <cell r="J8">
            <v>2.4076425137352399E-2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7.7068585729325885E-4</v>
          </cell>
          <cell r="I9">
            <v>7.8026370789388143E-4</v>
          </cell>
          <cell r="J9">
            <v>5.1674105439849282E-5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6.6806391013276402E-3</v>
          </cell>
          <cell r="I10">
            <v>6.590026543657204E-3</v>
          </cell>
          <cell r="J10">
            <v>4.2688697052043281E-4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1.22791801583032E-5</v>
          </cell>
          <cell r="I11">
            <v>6.9900092010144604E-6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1.51250747574593E-5</v>
          </cell>
          <cell r="I12">
            <v>1.5127744966438321E-5</v>
          </cell>
          <cell r="J12">
            <v>1.2266671825743999E-6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1.2631481756020728E-3</v>
          </cell>
          <cell r="I13">
            <v>6.9174838574767583E-4</v>
          </cell>
          <cell r="J13">
            <v>1.4194230345707039E-4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1.2631481756020728E-3</v>
          </cell>
          <cell r="I14">
            <v>6.9174838574767583E-4</v>
          </cell>
          <cell r="J14">
            <v>1.4194230345707039E-4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8.3549877405173604E-5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1.8576035678910484E-4</v>
          </cell>
          <cell r="I16">
            <v>1.0214527490346188E-4</v>
          </cell>
          <cell r="J16">
            <v>2.0852619935209361E-5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0.44389868893760798</v>
          </cell>
          <cell r="I17">
            <v>0.80981762273365598</v>
          </cell>
          <cell r="J17">
            <v>2.6309268341971257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1.4556998660379421</v>
          </cell>
          <cell r="I18">
            <v>2.5890789907153064</v>
          </cell>
          <cell r="J18">
            <v>7.7648057437175542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8.3499616258895706E-3</v>
          </cell>
          <cell r="I19">
            <v>9.8908331495451193E-3</v>
          </cell>
          <cell r="J19">
            <v>4.9242379543423899E-2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8.3509454376035595E-3</v>
          </cell>
          <cell r="I20">
            <v>1.55937426261787E-2</v>
          </cell>
          <cell r="J20">
            <v>5.0978108364940301E-2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2.8980449902673181E-2</v>
          </cell>
          <cell r="I21">
            <v>1.0671637325058049E-2</v>
          </cell>
          <cell r="J21">
            <v>5.900562275200211E-4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2.8980449902673181E-2</v>
          </cell>
          <cell r="I22">
            <v>1.0671637325058049E-2</v>
          </cell>
          <cell r="J22">
            <v>5.900562275200211E-4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2.4108735782109699E-4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3.0152274459185361E-3</v>
          </cell>
          <cell r="I24">
            <v>1.1123166803665837E-3</v>
          </cell>
          <cell r="J24">
            <v>6.0181125509118769E-5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53.572999180636209</v>
          </cell>
          <cell r="I25">
            <v>62.57165467917666</v>
          </cell>
          <cell r="J25">
            <v>74.146467980367916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6.5368729363488701E-5</v>
          </cell>
          <cell r="I26">
            <v>0.29835178396731299</v>
          </cell>
          <cell r="J26">
            <v>0.29835130679926197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12.08694425886636</v>
          </cell>
          <cell r="I27">
            <v>5.4561489455460936</v>
          </cell>
          <cell r="J27">
            <v>3.1899243977256972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2.4091227740746239E-3</v>
          </cell>
          <cell r="I28">
            <v>1.4623580291910918E-3</v>
          </cell>
          <cell r="J28">
            <v>2.6762776616979017E-3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1.1386889423240127</v>
          </cell>
          <cell r="I29">
            <v>1.441115558716056</v>
          </cell>
          <cell r="J29">
            <v>2.2597712977134146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40.345026963905077</v>
          </cell>
          <cell r="I30">
            <v>55.971288824172802</v>
          </cell>
          <cell r="J30">
            <v>68.992459329130895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9.95910070581537</v>
          </cell>
          <cell r="I31">
            <v>6.9565538344156028</v>
          </cell>
          <cell r="J31">
            <v>1.5101018713336656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9.95910070581537</v>
          </cell>
          <cell r="I32">
            <v>6.9565538344156028</v>
          </cell>
          <cell r="J32">
            <v>1.5101018713336656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0.41863598989177803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0.6847897853315067</v>
          </cell>
          <cell r="I34">
            <v>0.47832765715092396</v>
          </cell>
          <cell r="J34">
            <v>0.1045067418321113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1.282810113490908E-3</v>
          </cell>
          <cell r="I35">
            <v>6.962638746135009E-4</v>
          </cell>
          <cell r="J35">
            <v>1.4212864953199947E-4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1.282810113490908E-3</v>
          </cell>
          <cell r="I36">
            <v>6.962638746135009E-4</v>
          </cell>
          <cell r="J36">
            <v>1.4212864953199947E-4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8.3697790872095605E-5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1.88702600700607E-4</v>
          </cell>
          <cell r="I38">
            <v>1.0285956530192361E-4</v>
          </cell>
          <cell r="J38">
            <v>2.0889509677656849E-5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2.6122974042743982E-2</v>
          </cell>
          <cell r="I39">
            <v>5.4053321134035302E-3</v>
          </cell>
          <cell r="J39">
            <v>4.8630677504154623E-4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2.6122974042743982E-2</v>
          </cell>
          <cell r="I40">
            <v>5.4053321134035302E-3</v>
          </cell>
          <cell r="J40">
            <v>4.8630677504154623E-4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1.9557853165780699E-4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2.7330194554367427E-3</v>
          </cell>
          <cell r="I42">
            <v>5.054676363049046E-4</v>
          </cell>
          <cell r="J42">
            <v>4.88235032459495E-5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6.7724368269525728E-2</v>
          </cell>
          <cell r="I43">
            <v>3.4197175104180064E-2</v>
          </cell>
          <cell r="J43">
            <v>6.1440525492545796E-4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6.7724368269525728E-2</v>
          </cell>
          <cell r="I44">
            <v>3.4197175104180064E-2</v>
          </cell>
          <cell r="J44">
            <v>6.1440525492545796E-4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2.51604144272226E-4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7.1120015641725461E-3</v>
          </cell>
          <cell r="I46">
            <v>3.5939225099624848E-3</v>
          </cell>
          <cell r="J46">
            <v>6.2806495216290306E-5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0.24502343609303073</v>
          </cell>
          <cell r="J47">
            <v>0.26339815888302892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9.7092347670922798</v>
          </cell>
          <cell r="J48">
            <v>10.452472595886073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1.33440120238036E-4</v>
          </cell>
          <cell r="I49">
            <v>1.3344333200528499E-4</v>
          </cell>
          <cell r="J49">
            <v>1.2803294088803701E-3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2.4975283715156877E-3</v>
          </cell>
          <cell r="I50">
            <v>2.630971703520973E-3</v>
          </cell>
          <cell r="J50">
            <v>2.8282661077934498E-3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7.2012127768384122</v>
          </cell>
          <cell r="I51">
            <v>4.9611436546224912</v>
          </cell>
          <cell r="J51">
            <v>1.053553349507288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7.2012127768384122</v>
          </cell>
          <cell r="I52">
            <v>4.9611436546224912</v>
          </cell>
          <cell r="J52">
            <v>1.053553349507288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0.30177177906203201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0.49515583091449783</v>
          </cell>
          <cell r="I54">
            <v>0.34113189567866625</v>
          </cell>
          <cell r="J54">
            <v>7.5333191284962825E-2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1.3618167572160524E-2</v>
          </cell>
          <cell r="I55">
            <v>6.0379341253966497E-3</v>
          </cell>
          <cell r="J55">
            <v>4.8920066654350688E-4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1.3618167572160524E-2</v>
          </cell>
          <cell r="I56">
            <v>6.0379341253966497E-3</v>
          </cell>
          <cell r="J56">
            <v>4.8920066654350688E-4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1.9763470418739199E-4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1.3071696906623532E-3</v>
          </cell>
          <cell r="I58">
            <v>6.0997759316855425E-4</v>
          </cell>
          <cell r="J58">
            <v>4.9336798571982701E-5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1.34407697329602E-8</v>
          </cell>
          <cell r="I62">
            <v>2.3806549852110901E-9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9.4270017631796379E-4</v>
          </cell>
          <cell r="I63">
            <v>4.525876323807817E-4</v>
          </cell>
          <cell r="J63">
            <v>6.9143835360870089E-5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9.7481155622986551E-2</v>
          </cell>
          <cell r="I64">
            <v>4.5212835465818793E-2</v>
          </cell>
          <cell r="J64">
            <v>6.5664804186961693E-3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1.3208828675201447E-3</v>
          </cell>
          <cell r="I65">
            <v>6.1264004696231415E-4</v>
          </cell>
          <cell r="J65">
            <v>8.8976699440327525E-5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H66">
            <v>2.5738676280870258</v>
          </cell>
          <cell r="I66">
            <v>1.0083628809508045</v>
          </cell>
          <cell r="J66">
            <v>2.8786667479698901E-2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H67">
            <v>2.0438048378776302E-2</v>
          </cell>
          <cell r="I67">
            <v>8.4538242555212677E-3</v>
          </cell>
          <cell r="J67">
            <v>2.5101979556597616E-4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H68">
            <v>3.487625512313041E-2</v>
          </cell>
          <cell r="I68">
            <v>1.3663453671420103E-2</v>
          </cell>
          <cell r="J68">
            <v>3.9006324498237061E-4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1.2784811987296722E-3</v>
          </cell>
          <cell r="I69">
            <v>9.8715357371316113E-4</v>
          </cell>
          <cell r="J69">
            <v>2.6105137994610983E-4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1.2784811987296722E-3</v>
          </cell>
          <cell r="I70">
            <v>9.8715357371316113E-4</v>
          </cell>
          <cell r="J70">
            <v>2.6105137994610983E-4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1.280889254586325E-3</v>
          </cell>
          <cell r="I71">
            <v>9.8842476511642801E-4</v>
          </cell>
          <cell r="J71">
            <v>2.6144792946131753E-4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1.280889254586325E-3</v>
          </cell>
          <cell r="I72">
            <v>9.8842476511642801E-4</v>
          </cell>
          <cell r="J72">
            <v>2.6144792946131753E-4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7.26720318842136E-3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2.0319883203720589E-2</v>
          </cell>
          <cell r="I74">
            <v>1.2199324806385759E-2</v>
          </cell>
          <cell r="J74">
            <v>3.069238499085187E-3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855.31792211486493</v>
          </cell>
          <cell r="I75">
            <v>462.83354731343013</v>
          </cell>
          <cell r="J75">
            <v>61.748430053858748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6.3225904922597946</v>
          </cell>
          <cell r="I76">
            <v>3.6254568336622222</v>
          </cell>
          <cell r="J76">
            <v>0.5109160595369947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11.589673741393831</v>
          </cell>
          <cell r="I77">
            <v>6.2714572806697815</v>
          </cell>
          <cell r="J77">
            <v>0.83669959422572837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J78">
            <v>-1.8786355115014801E-9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1.8374003882680144E-2</v>
          </cell>
          <cell r="I79">
            <v>4.4147950682609498E-3</v>
          </cell>
          <cell r="J79">
            <v>1.1967643540585122E-3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1.8374003882680144E-2</v>
          </cell>
          <cell r="I80">
            <v>4.414795068260949E-3</v>
          </cell>
          <cell r="J80">
            <v>1.1967643540585122E-3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1.8377580385215905E-2</v>
          </cell>
          <cell r="I81">
            <v>4.4158192284848149E-3</v>
          </cell>
          <cell r="J81">
            <v>1.1973138268422457E-3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1.8377580385215905E-2</v>
          </cell>
          <cell r="I82">
            <v>4.4158192284848149E-3</v>
          </cell>
          <cell r="J82">
            <v>1.1973138268422457E-3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1.52524528502095E-2</v>
          </cell>
          <cell r="I83">
            <v>8.9011837912201207E-3</v>
          </cell>
          <cell r="J83">
            <v>3.74558075204284E-3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7.0104840139060473E-2</v>
          </cell>
          <cell r="I84">
            <v>4.378681771482093E-2</v>
          </cell>
          <cell r="J84">
            <v>1.6634615518175626E-2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2.4385575533310058</v>
          </cell>
          <cell r="I85">
            <v>0.40258509203411491</v>
          </cell>
          <cell r="J85">
            <v>2.3543487016781273E-2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1.717417548646754E-2</v>
          </cell>
          <cell r="I86">
            <v>2.9743063917037887E-3</v>
          </cell>
          <cell r="J86">
            <v>1.8083686695855844E-4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3.304278527548779E-2</v>
          </cell>
          <cell r="I87">
            <v>5.4550825478877378E-3</v>
          </cell>
          <cell r="J87">
            <v>3.1901743925177942E-4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4.2733361009160102</v>
          </cell>
          <cell r="I88">
            <v>3.2414087725156979</v>
          </cell>
          <cell r="J88">
            <v>1.0039998363427816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4.2733361009160102</v>
          </cell>
          <cell r="I89">
            <v>3.2414087725156975</v>
          </cell>
          <cell r="J89">
            <v>1.0039998363427816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4.2737648655203326</v>
          </cell>
          <cell r="I90">
            <v>3.241733830554415</v>
          </cell>
          <cell r="J90">
            <v>1.0041005916329189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4.2737648655203326</v>
          </cell>
          <cell r="I91">
            <v>3.241733830554415</v>
          </cell>
          <cell r="J91">
            <v>1.0041005916329189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60.3418859075108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106.389949237072</v>
          </cell>
          <cell r="I93">
            <v>60.356468799750203</v>
          </cell>
          <cell r="J93">
            <v>15.197369033528298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147.30582745687269</v>
          </cell>
          <cell r="I94">
            <v>7.4608045520414296E-3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0.92597205320743547</v>
          </cell>
          <cell r="I95">
            <v>4.6899003446797297E-5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2.0096292968195426</v>
          </cell>
          <cell r="I96">
            <v>1.0178450957764569E-4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9.1679580143610162E-2</v>
          </cell>
          <cell r="I98">
            <v>3.650890456199235E-6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H99">
            <v>1.4660502338815928E-5</v>
          </cell>
          <cell r="I99">
            <v>1.4032846288335494E-5</v>
          </cell>
          <cell r="J99">
            <v>1.296092271670445E-5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H100">
            <v>7.5453989711843578E-5</v>
          </cell>
          <cell r="I100">
            <v>7.025904361853594E-5</v>
          </cell>
          <cell r="J100">
            <v>5.9624346437391534E-5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2.87330460424504E-7</v>
          </cell>
          <cell r="I101">
            <v>1.7313272272774399E-7</v>
          </cell>
          <cell r="J101">
            <v>2.5082439202042002E-7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3.0912685331248298E-7</v>
          </cell>
          <cell r="I102">
            <v>2.9644837843826149E-7</v>
          </cell>
          <cell r="J102">
            <v>2.8120721743487802E-7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1.1085912678043222E-2</v>
          </cell>
          <cell r="I103">
            <v>7.5374223568562713E-3</v>
          </cell>
          <cell r="J103">
            <v>7.9527538359634318E-4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1.108591267804322E-2</v>
          </cell>
          <cell r="I104">
            <v>7.5374223568562687E-3</v>
          </cell>
          <cell r="J104">
            <v>7.9527538359634318E-4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1.1088114722870529E-2</v>
          </cell>
          <cell r="I105">
            <v>7.5390609188870396E-3</v>
          </cell>
          <cell r="J105">
            <v>7.9570018520067976E-4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1.1088114722870529E-2</v>
          </cell>
          <cell r="I106">
            <v>7.5390609188870396E-3</v>
          </cell>
          <cell r="J106">
            <v>7.9570018520067976E-4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3.3153706285965201E-2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0.24100643418957951</v>
          </cell>
          <cell r="I108">
            <v>0.15364921882521382</v>
          </cell>
          <cell r="J108">
            <v>1.3983856970139817E-2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3.309704925691203E-2</v>
          </cell>
          <cell r="I113">
            <v>3.3878267028826688E-2</v>
          </cell>
          <cell r="J113">
            <v>3.6422543461107737E-2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1.981380832016755</v>
          </cell>
          <cell r="I114">
            <v>2.028149047119173</v>
          </cell>
          <cell r="J114">
            <v>2.1804641527692876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1.34240569460731E-4</v>
          </cell>
          <cell r="I115">
            <v>7.2114706164122397E-5</v>
          </cell>
          <cell r="J115">
            <v>1.4958700212994E-3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3.0554539285243348E-3</v>
          </cell>
          <cell r="I116">
            <v>3.1275686346884579E-3</v>
          </cell>
          <cell r="J116">
            <v>3.3624431678295095E-3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1.6128621053944189E-3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1.7635817395902615E-5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2.8596845840326615E-5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2.5753745239370005E-6</v>
          </cell>
          <cell r="I125">
            <v>1.6057751443137798E-7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32.854064210473133</v>
          </cell>
          <cell r="I126">
            <v>37.264539289602808</v>
          </cell>
          <cell r="J126">
            <v>37.219157102428632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32.854064210473133</v>
          </cell>
          <cell r="I127">
            <v>37.264539289602808</v>
          </cell>
          <cell r="J127">
            <v>37.219157102428632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14.6808865215443</v>
          </cell>
          <cell r="I128">
            <v>12.431563921987999</v>
          </cell>
          <cell r="J128">
            <v>26.212445554591401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25.149342843920106</v>
          </cell>
          <cell r="I129">
            <v>33.538641914723897</v>
          </cell>
          <cell r="J129">
            <v>41.444384722574597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1.2664575448537824E-3</v>
          </cell>
          <cell r="I130">
            <v>7.9656452492938909E-5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1.0553147714458868E-5</v>
          </cell>
          <cell r="I131">
            <v>6.3303855233747677E-7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2.2454921008045751E-5</v>
          </cell>
          <cell r="I132">
            <v>1.4123484484563646E-6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1.1166554375306872E-6</v>
          </cell>
          <cell r="I134">
            <v>1.7047030544390002E-7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0.20473600385843022</v>
          </cell>
          <cell r="I135">
            <v>8.3738414418137001E-3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9.555683266295104E-4</v>
          </cell>
          <cell r="I136">
            <v>3.9083392775155436E-5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2.7931241999785842E-3</v>
          </cell>
          <cell r="I137">
            <v>1.1424067451314734E-4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8.7390195059913468E-5</v>
          </cell>
          <cell r="I139">
            <v>3.0960872065323003E-6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4.3955023584446471E-3</v>
          </cell>
          <cell r="I140">
            <v>1.259414024328483E-4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3.7927311990421106E-5</v>
          </cell>
          <cell r="I141">
            <v>9.8626006563846809E-7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7.7934438979514973E-5</v>
          </cell>
          <cell r="I142">
            <v>2.2330035892348969E-6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3.0577397827657102E-6</v>
          </cell>
          <cell r="I144">
            <v>1.7312667997268098E-7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1.098290806651593E-3</v>
          </cell>
          <cell r="I145">
            <v>1.083535536503529E-4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9.1969451692712367E-6</v>
          </cell>
          <cell r="I146">
            <v>8.3815998724357966E-7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1.9473241252687828E-5</v>
          </cell>
          <cell r="I147">
            <v>1.9211622987651225E-6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1.056413006607197E-6</v>
          </cell>
          <cell r="I149">
            <v>1.8710785395445301E-7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5.5623632143767449E-2</v>
          </cell>
          <cell r="I150">
            <v>1.7977312104553458E-2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4.3727724390106755E-4</v>
          </cell>
          <cell r="I151">
            <v>1.4608019052021173E-4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7.5370775262557433E-4</v>
          </cell>
          <cell r="I152">
            <v>2.4359501496684947E-4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6.3250822152434707E-5</v>
          </cell>
          <cell r="I154">
            <v>2.09201172260692E-5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3.1140487340042711E-2</v>
          </cell>
          <cell r="I155">
            <v>3.2006602244411902E-2</v>
          </cell>
          <cell r="J155">
            <v>3.3071687199031169E-2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0.45958965891661224</v>
          </cell>
          <cell r="I156">
            <v>0.47237229295618205</v>
          </cell>
          <cell r="J156">
            <v>0.48809144422268363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6.0665948652398369E-2</v>
          </cell>
          <cell r="I157">
            <v>1.864168928388588E-2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3.8482713378382958E-4</v>
          </cell>
          <cell r="I158">
            <v>1.2247422006419966E-4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8.2203182455824328E-4</v>
          </cell>
          <cell r="I159">
            <v>2.5259741577081152E-4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3.5297449580540498E-5</v>
          </cell>
          <cell r="I161">
            <v>1.11691188733139E-5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4.2461375506209875E-2</v>
          </cell>
          <cell r="I162">
            <v>1.374561864909459E-2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3.5734288118368339E-4</v>
          </cell>
          <cell r="I163">
            <v>1.19008509098058E-4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5.7928206693328571E-4</v>
          </cell>
          <cell r="I164">
            <v>1.8752549316636486E-4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5.1177534363302598E-5</v>
          </cell>
          <cell r="I166">
            <v>1.6833831777624899E-5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6.1467798932924318E-2</v>
          </cell>
          <cell r="I167">
            <v>1.7117624406893132E-2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3.6029809452485539E-4</v>
          </cell>
          <cell r="I168">
            <v>1.0437276317049469E-4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8.3289700451116984E-4</v>
          </cell>
          <cell r="I169">
            <v>2.3194613017470296E-4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2.8419732643904E-5</v>
          </cell>
          <cell r="I171">
            <v>8.2884971227438193E-6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4.7725863800514419E-2</v>
          </cell>
          <cell r="I172">
            <v>1.489003002602861E-2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3.2434374437921278E-4</v>
          </cell>
          <cell r="I173">
            <v>1.0428953913535568E-4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6.5110318963866847E-4</v>
          </cell>
          <cell r="I174">
            <v>2.0313819953654273E-4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2.9064511602090199E-5</v>
          </cell>
          <cell r="I176">
            <v>9.2515667642196795E-6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8.0434185512736539E-2</v>
          </cell>
          <cell r="I177">
            <v>2.466894785717064E-2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4.7926639129128914E-4</v>
          </cell>
          <cell r="I178">
            <v>1.5223230278757569E-4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1.0898941126387045E-3</v>
          </cell>
          <cell r="I179">
            <v>3.3426758614052405E-4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4.5965373733298701E-5</v>
          </cell>
          <cell r="I181">
            <v>1.44007660426816E-5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4.6921979565002755E-2</v>
          </cell>
          <cell r="I182">
            <v>1.3399238560007791E-2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2.9514050766661843E-4</v>
          </cell>
          <cell r="I183">
            <v>8.7181139756846345E-5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6.4013614686224787E-4</v>
          </cell>
          <cell r="I184">
            <v>1.8279998035481372E-4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2.29918048995325E-5</v>
          </cell>
          <cell r="I186">
            <v>6.8076332817128297E-6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1.9203595589573199E-4</v>
          </cell>
          <cell r="I187">
            <v>3.5885199686990198E-4</v>
          </cell>
          <cell r="J187">
            <v>8.7866034691159005E-5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5.0957957254729167E-7</v>
          </cell>
          <cell r="I188">
            <v>1.0018894029705896E-6</v>
          </cell>
          <cell r="J188">
            <v>2.4531575637304754E-7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2.6198629726566509E-6</v>
          </cell>
          <cell r="I189">
            <v>4.8956616216903361E-6</v>
          </cell>
          <cell r="J189">
            <v>1.1987180721849793E-6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2.7778580784982101E-8</v>
          </cell>
          <cell r="I190">
            <v>3.6459643992186402E-8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3.020140091990101E-8</v>
          </cell>
          <cell r="I191">
            <v>3.5824660146988197E-8</v>
          </cell>
          <cell r="J191">
            <v>2.3159529593702501E-8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3.1255701471278548E-2</v>
          </cell>
          <cell r="I192">
            <v>9.1397435570395504E-3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1.8656619070321111E-4</v>
          </cell>
          <cell r="I193">
            <v>5.6426376881944278E-5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4.2640793275959841E-4</v>
          </cell>
          <cell r="I194">
            <v>1.2468954375224493E-4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1.7198527657093099E-5</v>
          </cell>
          <cell r="I196">
            <v>5.15639363249612E-6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I197">
            <v>5.5799321783818305E-4</v>
          </cell>
          <cell r="J197">
            <v>1.08580259087435E-4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I198">
            <v>1.1165355264578431E-6</v>
          </cell>
          <cell r="J198">
            <v>2.172673661031411E-7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I199">
            <v>7.61245863353592E-6</v>
          </cell>
          <cell r="J199">
            <v>1.4813132208381266E-6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I200">
            <v>3.6805617234481503E-8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1.9706490758260012E-9</v>
          </cell>
          <cell r="I201">
            <v>1.8081636090260803E-8</v>
          </cell>
          <cell r="J201">
            <v>1.84582117439465E-8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2718.1941550702099</v>
          </cell>
          <cell r="I205">
            <v>2038.98825242819</v>
          </cell>
          <cell r="J205">
            <v>4.7539606115161597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36.538162197699123</v>
          </cell>
          <cell r="I206">
            <v>27.408227387826123</v>
          </cell>
          <cell r="J206">
            <v>6.3903081971186187E-2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37.083139905459859</v>
          </cell>
          <cell r="I207">
            <v>27.817029364641019</v>
          </cell>
          <cell r="J207">
            <v>6.4856215709633971E-2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9.9505681675326503E-9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1.0204709320246512</v>
          </cell>
          <cell r="I213">
            <v>1.2206566987162886</v>
          </cell>
          <cell r="J213">
            <v>1.1563837651094513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1.020470932024651</v>
          </cell>
          <cell r="I214">
            <v>1.2206566987162883</v>
          </cell>
          <cell r="J214">
            <v>1.1563837651094511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1.0205822269924438</v>
          </cell>
          <cell r="I215">
            <v>1.2207862429785163</v>
          </cell>
          <cell r="J215">
            <v>1.1565057282988396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1.0205822269924438</v>
          </cell>
          <cell r="I216">
            <v>1.2207862429785163</v>
          </cell>
          <cell r="J216">
            <v>1.1565057282988396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12.9434190065676</v>
          </cell>
          <cell r="I217">
            <v>11.0867312867453</v>
          </cell>
          <cell r="J217">
            <v>20.020392063375301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21.387785536604646</v>
          </cell>
          <cell r="I218">
            <v>25.950820111230755</v>
          </cell>
          <cell r="J218">
            <v>25.901542860430961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1.00475440179615E-3</v>
          </cell>
          <cell r="I228">
            <v>3.9618228309321301E-4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8.1807007014666006E-2</v>
          </cell>
          <cell r="I229">
            <v>3.22571234862516E-2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1.1084960300090283E-3</v>
          </cell>
          <cell r="I230">
            <v>4.370883941226472E-4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1.2935940082757599E-5</v>
          </cell>
          <cell r="I231">
            <v>2.0929225918764699E-5</v>
          </cell>
          <cell r="J231">
            <v>9.2939901263621604E-7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9.9702493546005577E-4</v>
          </cell>
          <cell r="I232">
            <v>3.7588919147413247E-4</v>
          </cell>
          <cell r="J232">
            <v>3.2116782195734963E-6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10.617137607077341</v>
          </cell>
          <cell r="I233">
            <v>11.686912781281608</v>
          </cell>
          <cell r="J233">
            <v>10.505119561293975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10.617137607077337</v>
          </cell>
          <cell r="I234">
            <v>11.686912781281606</v>
          </cell>
          <cell r="J234">
            <v>10.505119561293974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10.618208500615797</v>
          </cell>
          <cell r="I235">
            <v>11.688088969499146</v>
          </cell>
          <cell r="J235">
            <v>10.506175769929381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10.618208500615797</v>
          </cell>
          <cell r="I236">
            <v>11.688088969499146</v>
          </cell>
          <cell r="J236">
            <v>10.506175769929381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166.99926578292499</v>
          </cell>
          <cell r="I237">
            <v>82.089401903239406</v>
          </cell>
          <cell r="J237">
            <v>178.75591323276001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225.1003504751896</v>
          </cell>
          <cell r="I238">
            <v>203.49026161944082</v>
          </cell>
          <cell r="J238">
            <v>219.08426385500229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62.833387653411279</v>
          </cell>
          <cell r="I239">
            <v>65.886515609679634</v>
          </cell>
          <cell r="J239">
            <v>16.577409686692278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1.7231219605633978</v>
          </cell>
          <cell r="I240">
            <v>1.8441921264875638</v>
          </cell>
          <cell r="J240">
            <v>0.46685688319672081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0.85140091671288942</v>
          </cell>
          <cell r="I241">
            <v>0.89277121422330152</v>
          </cell>
          <cell r="J241">
            <v>0.22462614751615503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0.38764757520774101</v>
          </cell>
          <cell r="I242">
            <v>0.31161108584840203</v>
          </cell>
          <cell r="J242">
            <v>6.53966676336281E-4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0.68332247287560455</v>
          </cell>
          <cell r="I243">
            <v>0.74115459814592666</v>
          </cell>
          <cell r="J243">
            <v>0.2249561812667098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16.060849738996499</v>
          </cell>
          <cell r="I244">
            <v>14.060287884537001</v>
          </cell>
          <cell r="J244">
            <v>2.0188207251566599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1191.23371928693</v>
          </cell>
          <cell r="I245">
            <v>1042.85198499021</v>
          </cell>
          <cell r="J245">
            <v>149.73599529810099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16.251483209917151</v>
          </cell>
          <cell r="I246">
            <v>14.227175784313829</v>
          </cell>
          <cell r="J246">
            <v>2.0427830190736787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4.1590008936727701E-4</v>
          </cell>
          <cell r="I247">
            <v>8.4399389838720307</v>
          </cell>
          <cell r="J247">
            <v>1.77474057137927E-6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16.06084844699598</v>
          </cell>
          <cell r="I248">
            <v>14.060280854719224</v>
          </cell>
          <cell r="J248">
            <v>2.0188165313637807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0.6845628770893829</v>
          </cell>
          <cell r="I249">
            <v>4.6103656529057275</v>
          </cell>
          <cell r="J249">
            <v>9.0572116385325891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0.6845628770893829</v>
          </cell>
          <cell r="I250">
            <v>4.6103656529057266</v>
          </cell>
          <cell r="J250">
            <v>9.0572116385325874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0.68464029691149575</v>
          </cell>
          <cell r="I251">
            <v>4.6108341444590257</v>
          </cell>
          <cell r="J251">
            <v>9.0581230366309562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0.68464029691149575</v>
          </cell>
          <cell r="I252">
            <v>4.6108341444590257</v>
          </cell>
          <cell r="J252">
            <v>9.0581230366309562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9.7421504791761802</v>
          </cell>
          <cell r="I253">
            <v>63.426858901324799</v>
          </cell>
          <cell r="J253">
            <v>125.03240725424401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9.851848580384388</v>
          </cell>
          <cell r="I254">
            <v>69.178659616526531</v>
          </cell>
          <cell r="J254">
            <v>140.93976040310002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0.73508477515223647</v>
          </cell>
          <cell r="I255">
            <v>2.8127001959708173E-2</v>
          </cell>
          <cell r="J255">
            <v>1.484263297931205E-2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1.1055759129920024E-2</v>
          </cell>
          <cell r="I256">
            <v>4.5026831930092357E-4</v>
          </cell>
          <cell r="J256">
            <v>2.4432484430678971E-4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9.9604983082958818E-3</v>
          </cell>
          <cell r="I257">
            <v>3.8112468780092406E-4</v>
          </cell>
          <cell r="J257">
            <v>2.0111968806655895E-4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8.1809356025140401E-5</v>
          </cell>
          <cell r="I258">
            <v>6.0443729554419898E-5</v>
          </cell>
          <cell r="J258">
            <v>3.4931686191584499E-5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5.2075668738484054E-3</v>
          </cell>
          <cell r="I259">
            <v>1.80560544341187E-4</v>
          </cell>
          <cell r="J259">
            <v>1.0232613136183789E-4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16.224565587700734</v>
          </cell>
          <cell r="I260">
            <v>16.488550815526303</v>
          </cell>
          <cell r="J260">
            <v>15.490480218016693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16.224565587700734</v>
          </cell>
          <cell r="I261">
            <v>16.488550815526303</v>
          </cell>
          <cell r="J261">
            <v>15.490480218016691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16.226197379020679</v>
          </cell>
          <cell r="I262">
            <v>16.490206424487315</v>
          </cell>
          <cell r="J262">
            <v>15.492035018078344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16.226197379020679</v>
          </cell>
          <cell r="I263">
            <v>16.490206424487315</v>
          </cell>
          <cell r="J263">
            <v>15.492035018078344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134.825518620932</v>
          </cell>
          <cell r="I264">
            <v>128.67114769988501</v>
          </cell>
          <cell r="J264">
            <v>263.30151204459202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235.8861788616025</v>
          </cell>
          <cell r="I265">
            <v>254.25101300516224</v>
          </cell>
          <cell r="J265">
            <v>292.59730263167955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13.895139539186198</v>
          </cell>
          <cell r="I266">
            <v>3.3829986383900095</v>
          </cell>
          <cell r="J266">
            <v>1.457865142029381E-2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0.13749317148654602</v>
          </cell>
          <cell r="I267">
            <v>3.3526494141521944E-2</v>
          </cell>
          <cell r="J267">
            <v>1.5702512857248773E-4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0.18828102356620868</v>
          </cell>
          <cell r="I268">
            <v>4.5840089951084032E-2</v>
          </cell>
          <cell r="J268">
            <v>1.9754270217200315E-4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2.56696958244287E-5</v>
          </cell>
          <cell r="I269">
            <v>2.0504590382408599E-5</v>
          </cell>
          <cell r="J269">
            <v>1.6085239109193599E-5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6.6040709110371562E-2</v>
          </cell>
          <cell r="I270">
            <v>1.6054424747899278E-2</v>
          </cell>
          <cell r="J270">
            <v>6.4919877422256982E-5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9.3075725644010081</v>
          </cell>
          <cell r="I275">
            <v>8.4259297911214031</v>
          </cell>
          <cell r="J275">
            <v>0.51211913206595971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8.5313023334927976E-2</v>
          </cell>
          <cell r="I276">
            <v>7.7242022742934166E-2</v>
          </cell>
          <cell r="J276">
            <v>4.7117461462441359E-3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0.12611886943632775</v>
          </cell>
          <cell r="I277">
            <v>0.11417249039459929</v>
          </cell>
          <cell r="J277">
            <v>6.9392836323300686E-3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1.26033412271631E-5</v>
          </cell>
          <cell r="I278">
            <v>1.1501918887547301E-5</v>
          </cell>
          <cell r="J278">
            <v>9.3076716898923703E-6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4.0931484715095057E-2</v>
          </cell>
          <cell r="I279">
            <v>3.7088801464783126E-2</v>
          </cell>
          <cell r="J279">
            <v>2.2490837816254911E-3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3.2177882769268451E-4</v>
          </cell>
          <cell r="I284">
            <v>2.4102120662489786E-4</v>
          </cell>
          <cell r="J284">
            <v>7.4394540792937768E-5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1.7253939657792846E-4</v>
          </cell>
          <cell r="I285">
            <v>1.2617881695476779E-4</v>
          </cell>
          <cell r="J285">
            <v>3.6672485611433305E-5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8.5433904820039572E-3</v>
          </cell>
          <cell r="I286">
            <v>2.2191860976045127E-3</v>
          </cell>
          <cell r="J286">
            <v>3.4169904274089919E-4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5.4518570505227848E-3</v>
          </cell>
          <cell r="I287">
            <v>1.3776703823054448E-3</v>
          </cell>
          <cell r="J287">
            <v>2.029852183955877E-4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3.2707972037178401E-4</v>
          </cell>
          <cell r="I288">
            <v>2.4201977301362552E-4</v>
          </cell>
          <cell r="J288">
            <v>7.5093019952926255E-5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1.7538036227524617E-4</v>
          </cell>
          <cell r="I289">
            <v>1.2670068650107738E-4</v>
          </cell>
          <cell r="J289">
            <v>3.7016533715378573E-5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3.8185104274620588E-2</v>
          </cell>
          <cell r="I290">
            <v>3.9048512196511807E-2</v>
          </cell>
          <cell r="J290">
            <v>4.0347931071859175E-2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0.7561616857731851</v>
          </cell>
          <cell r="I291">
            <v>0.77325934733858914</v>
          </cell>
          <cell r="J291">
            <v>0.79899112903654423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3.6365110658881634</v>
          </cell>
          <cell r="I292">
            <v>3.331099193232161</v>
          </cell>
          <cell r="J292">
            <v>0.99918938278658076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2.4729462334171717</v>
          </cell>
          <cell r="I293">
            <v>2.1630841399569651</v>
          </cell>
          <cell r="J293">
            <v>0.59096893078801804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1.9967801366272863E-2</v>
          </cell>
          <cell r="I294">
            <v>4.4652992318700074E-3</v>
          </cell>
          <cell r="J294">
            <v>3.5595592011010446E-4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1.2697387669458165E-2</v>
          </cell>
          <cell r="I295">
            <v>2.7364021330649364E-3</v>
          </cell>
          <cell r="J295">
            <v>2.1142701332942069E-4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8.9498595563677983E-3</v>
          </cell>
          <cell r="I300">
            <v>2.4324595155830906E-3</v>
          </cell>
          <cell r="J300">
            <v>3.0799347627901195E-4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6.4345245736229769E-3</v>
          </cell>
          <cell r="I301">
            <v>1.7027701602460878E-3</v>
          </cell>
          <cell r="J301">
            <v>2.0663655419850732E-4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2.6294833335492833</v>
          </cell>
          <cell r="I302">
            <v>1.6421016814237581</v>
          </cell>
          <cell r="J302">
            <v>0.69710575383854156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1.7881753274782908</v>
          </cell>
          <cell r="I303">
            <v>1.0663646890453538</v>
          </cell>
          <cell r="J303">
            <v>0.41286209899762216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4.6650817043701774E-3</v>
          </cell>
          <cell r="I304">
            <v>2.3417738470253168E-3</v>
          </cell>
          <cell r="J304">
            <v>3.0994759376256145E-4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3.3703758091220767E-3</v>
          </cell>
          <cell r="I305">
            <v>1.6409387906152987E-3</v>
          </cell>
          <cell r="J305">
            <v>2.0794255318653528E-4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2.2903119198587241E-3</v>
          </cell>
          <cell r="I306">
            <v>3.0257212012764701E-4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1.3018105640717697E-5</v>
          </cell>
          <cell r="I307">
            <v>1.7198163226608004E-6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4.0608367373381602E-5</v>
          </cell>
          <cell r="I308">
            <v>5.3647539029724613E-6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1.059919169593278E-6</v>
          </cell>
          <cell r="I310">
            <v>1.52426921726044E-7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3.5630345753966042</v>
          </cell>
          <cell r="I311">
            <v>4.9945766764751358</v>
          </cell>
          <cell r="J311">
            <v>5.3989299973254985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5.2293167824323774</v>
          </cell>
          <cell r="I312">
            <v>7.33033123388355</v>
          </cell>
          <cell r="J312">
            <v>7.9237836862835316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0.24003452301422701</v>
          </cell>
          <cell r="I313">
            <v>0.21715304015088999</v>
          </cell>
          <cell r="J313">
            <v>0.385832261084746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0.3169651992969999</v>
          </cell>
          <cell r="I314">
            <v>0.47064807992062185</v>
          </cell>
          <cell r="J314">
            <v>0.53685898539063093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6.4827206119591904E-2</v>
          </cell>
          <cell r="I315">
            <v>6.4857181166934272E-2</v>
          </cell>
          <cell r="J315">
            <v>6.3146625439857204E-2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0.13767776278429208</v>
          </cell>
          <cell r="I316">
            <v>0.13761661378849754</v>
          </cell>
          <cell r="J316">
            <v>0.11880783873411747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1.3963052588349301E-3</v>
          </cell>
          <cell r="I317">
            <v>1.24427712189938E-5</v>
          </cell>
          <cell r="J317">
            <v>1.1983514965862401E-3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1.4099489059824198E-3</v>
          </cell>
          <cell r="I318">
            <v>1.4093335990055368E-3</v>
          </cell>
          <cell r="J318">
            <v>1.4495996260788012E-3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5.7501760351292022E-2</v>
          </cell>
          <cell r="I319">
            <v>5.7537349262502951E-2</v>
          </cell>
          <cell r="J319">
            <v>5.6009197130609069E-2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0.17142368911865288</v>
          </cell>
          <cell r="I320">
            <v>0.16590187086367167</v>
          </cell>
          <cell r="J320">
            <v>0.14760993157558752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8.2873432937727505E-4</v>
          </cell>
          <cell r="I321">
            <v>4.1775929866817003E-4</v>
          </cell>
          <cell r="J321">
            <v>8.6240396774938397E-4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1.249651571718319E-3</v>
          </cell>
          <cell r="I322">
            <v>1.2502782889425991E-3</v>
          </cell>
          <cell r="J322">
            <v>1.2173431357718901E-3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1.2298221985784211E-2</v>
          </cell>
          <cell r="I323">
            <v>1.2306759131398212E-2</v>
          </cell>
          <cell r="J323">
            <v>1.1979737990273064E-2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5.6141443153603893E-2</v>
          </cell>
          <cell r="I324">
            <v>5.2190679372534729E-2</v>
          </cell>
          <cell r="J324">
            <v>4.6824905191744183E-2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7.3282298179007101E-5</v>
          </cell>
          <cell r="I325">
            <v>1.94144651095006E-4</v>
          </cell>
          <cell r="J325">
            <v>1.9388804685285501E-4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2.6757880699919211E-4</v>
          </cell>
          <cell r="I326">
            <v>2.6742694927401299E-4</v>
          </cell>
          <cell r="J326">
            <v>2.6038671479466197E-4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6.9538899509020509E-6</v>
          </cell>
          <cell r="I327">
            <v>1.9886834731366787E-5</v>
          </cell>
          <cell r="J327">
            <v>6.4765525003398169E-6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4.5894662578752767E-5</v>
          </cell>
          <cell r="I328">
            <v>1.2599147962076316E-4</v>
          </cell>
          <cell r="J328">
            <v>3.7669944792801883E-5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1.71847932767182E-7</v>
          </cell>
          <cell r="I329">
            <v>3.2338507919232601E-7</v>
          </cell>
          <cell r="J329">
            <v>1.4576379733871401E-7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1.9595299359031101E-7</v>
          </cell>
          <cell r="I330">
            <v>4.4075486461495602E-7</v>
          </cell>
          <cell r="J330">
            <v>2.0251420389352601E-7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1.8759911006759278</v>
          </cell>
          <cell r="I331">
            <v>2.3177982960453285</v>
          </cell>
          <cell r="J331">
            <v>2.4473388606317581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1.005808455249886</v>
          </cell>
          <cell r="I332">
            <v>1.2045794021884275</v>
          </cell>
          <cell r="J332">
            <v>1.1561612632966802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0.17424638842280399</v>
          </cell>
          <cell r="I333">
            <v>0.153500114310298</v>
          </cell>
          <cell r="J333">
            <v>0.29387185376486502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0.28509338773817317</v>
          </cell>
          <cell r="I334">
            <v>0.35224318554171785</v>
          </cell>
          <cell r="J334">
            <v>0.3719332962615704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0.38687953612440601</v>
          </cell>
          <cell r="I335">
            <v>0.33001238626826201</v>
          </cell>
          <cell r="J335">
            <v>1.40488514424961E-2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6.9130805147483024E-3</v>
          </cell>
          <cell r="I336">
            <v>6.6452673399915365E-3</v>
          </cell>
          <cell r="J336">
            <v>4.5122441612631279E-4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6.8595662433405405E-3</v>
          </cell>
          <cell r="I337">
            <v>5.8512834444727222E-3</v>
          </cell>
          <cell r="J337">
            <v>2.490931106825543E-4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6.9469566938411441E-5</v>
          </cell>
          <cell r="I338">
            <v>9.093284288422184E-4</v>
          </cell>
          <cell r="J338">
            <v>2.1173284240749219E-4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2.8955613782530192E-5</v>
          </cell>
          <cell r="I339">
            <v>4.2285891414205159E-5</v>
          </cell>
          <cell r="J339">
            <v>7.2314044371502152E-6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9.02886314926275E-8</v>
          </cell>
          <cell r="I340">
            <v>1.10783451916651E-7</v>
          </cell>
          <cell r="J340">
            <v>2.47118809648764E-7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0.95961807583019665</v>
          </cell>
          <cell r="I341">
            <v>0.95961818661364862</v>
          </cell>
          <cell r="J341">
            <v>0.48125409008640219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16.121397000499393</v>
          </cell>
          <cell r="I342">
            <v>18.165363795799831</v>
          </cell>
          <cell r="J342">
            <v>18.046189955596514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10.607756306487097</v>
          </cell>
          <cell r="I343">
            <v>11.676331163987312</v>
          </cell>
          <cell r="J343">
            <v>10.504942373052534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1.2638715483137399</v>
          </cell>
          <cell r="I344">
            <v>0.63982266783818398</v>
          </cell>
          <cell r="J344">
            <v>1.4814503191496899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1.6948428393977866</v>
          </cell>
          <cell r="I345">
            <v>1.9159860288703687</v>
          </cell>
          <cell r="J345">
            <v>1.9034362716191928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0.94736375235457349</v>
          </cell>
          <cell r="I349">
            <v>6.7712571574549312</v>
          </cell>
          <cell r="J349">
            <v>14.513663930030223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0.67370524166028667</v>
          </cell>
          <cell r="I350">
            <v>4.5996373768105752</v>
          </cell>
          <cell r="J350">
            <v>9.0570330865679125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6.3911887905763007E-2</v>
          </cell>
          <cell r="I351">
            <v>0.42831576267976301</v>
          </cell>
          <cell r="J351">
            <v>0.89678360767227605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6.5156474403857412E-2</v>
          </cell>
          <cell r="I352">
            <v>0.46558767516682198</v>
          </cell>
          <cell r="J352">
            <v>0.99792967925922016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21.527342042766207</v>
          </cell>
          <cell r="I353">
            <v>22.735170482414759</v>
          </cell>
          <cell r="J353">
            <v>23.574162370172139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16.21528744715901</v>
          </cell>
          <cell r="I354">
            <v>16.478103781626892</v>
          </cell>
          <cell r="J354">
            <v>15.490307995975137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0.90163344585340799</v>
          </cell>
          <cell r="I355">
            <v>0.88366098018276595</v>
          </cell>
          <cell r="J355">
            <v>1.91086351702713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1.6951347236366139</v>
          </cell>
          <cell r="I356">
            <v>1.9471146047114305</v>
          </cell>
          <cell r="J356">
            <v>2.3028077335946455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H357">
            <v>5.1640919881764301E-5</v>
          </cell>
          <cell r="I357">
            <v>2.4568722266557502E-4</v>
          </cell>
          <cell r="J357">
            <v>3.2440077048042901E-5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H358">
            <v>1.3306190456318321E-7</v>
          </cell>
          <cell r="I358">
            <v>6.6609937674013064E-7</v>
          </cell>
          <cell r="J358">
            <v>8.795050417626289E-8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H359">
            <v>9.1561914683979321E-7</v>
          </cell>
          <cell r="I359">
            <v>4.3561564302406976E-6</v>
          </cell>
          <cell r="J359">
            <v>5.751786710645898E-7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H360">
            <v>2.0091190481393099E-8</v>
          </cell>
          <cell r="I360">
            <v>2.8829137633068402E-8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1.8847024121953995E-8</v>
          </cell>
          <cell r="I361">
            <v>2.7262418014093696E-8</v>
          </cell>
          <cell r="J361">
            <v>1.7983740648141701E-8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H362">
            <v>3.8684205788302727E-6</v>
          </cell>
          <cell r="I362">
            <v>3.1666901559688317E-6</v>
          </cell>
          <cell r="J362">
            <v>3.1157980319181935E-6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H363">
            <v>7.2987453018237294E-6</v>
          </cell>
          <cell r="I363">
            <v>5.5966026125057647E-6</v>
          </cell>
          <cell r="J363">
            <v>5.2236482021649906E-6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1.32528120193806E-7</v>
          </cell>
          <cell r="I364">
            <v>1.5146475803158701E-7</v>
          </cell>
          <cell r="J364">
            <v>1.9520491500237401E-7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3.0910318554507597E-7</v>
          </cell>
          <cell r="I365">
            <v>2.8886834663082906E-7</v>
          </cell>
          <cell r="J365">
            <v>2.9442247148756299E-7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I366">
            <v>4.54790178499832E-4</v>
          </cell>
          <cell r="J366">
            <v>7.7639174124590702E-5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I367">
            <v>8.6205155826478928E-7</v>
          </cell>
          <cell r="J367">
            <v>1.4716450398569751E-7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I368">
            <v>8.063655647160147E-6</v>
          </cell>
          <cell r="J368">
            <v>1.3765811014998346E-6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I369">
            <v>3.0273324056007903E-8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-1.9589373029220182E-9</v>
          </cell>
          <cell r="I370">
            <v>1.2981697958308601E-8</v>
          </cell>
          <cell r="J370">
            <v>1.51822321592639E-8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H371">
            <v>4.0911847620474801E-5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H372">
            <v>8.6422336074552497E-8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H373">
            <v>5.5814253233935572E-7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H374">
            <v>1.2391401581808701E-8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1.3456376222987457E-8</v>
          </cell>
          <cell r="I375">
            <v>-5.2126866179059997E-10</v>
          </cell>
          <cell r="J375">
            <v>2.1745501657278601E-9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H381">
            <v>4.1136080014044901E-4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H382">
            <v>6.0704596698105702E-7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H383">
            <v>5.6120163729938469E-6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H384">
            <v>2.1923858032136899E-8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2.0324054555002934E-8</v>
          </cell>
          <cell r="I385">
            <v>-4.9402402714023003E-9</v>
          </cell>
          <cell r="J385">
            <v>3.8473879490086398E-9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I400">
            <v>-7.4669184895093899E-9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H401">
            <v>16.480768587237598</v>
          </cell>
          <cell r="I401">
            <v>27.807059383641899</v>
          </cell>
          <cell r="J401">
            <v>75.9221358796825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H402">
            <v>16.480768587237598</v>
          </cell>
          <cell r="I402">
            <v>27.807059383641899</v>
          </cell>
          <cell r="J402">
            <v>75.9221358796825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H411">
            <v>5.2302140017857974</v>
          </cell>
          <cell r="I411">
            <v>7.3313370013567623</v>
          </cell>
          <cell r="J411">
            <v>7.9247229340517897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H412">
            <v>5.2302140017857974</v>
          </cell>
          <cell r="I412">
            <v>7.3313370013567623</v>
          </cell>
          <cell r="J412">
            <v>7.9247229340517897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H413">
            <v>0.382154068084613</v>
          </cell>
          <cell r="I413">
            <v>0.36289935758623998</v>
          </cell>
          <cell r="J413">
            <v>0.58857808942508005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H414">
            <v>0.552830467576228</v>
          </cell>
          <cell r="I414">
            <v>0.77491754675065305</v>
          </cell>
          <cell r="J414">
            <v>0.83763773325731705</v>
          </cell>
        </row>
        <row r="415">
          <cell r="A415" t="str">
            <v>T_B_c-FCLH2O-S3</v>
          </cell>
          <cell r="B415" t="str">
            <v>VAR_ncap</v>
          </cell>
          <cell r="C415" t="str">
            <v>-</v>
          </cell>
        </row>
        <row r="416">
          <cell r="A416" t="str">
            <v>T_B_c-FCLH2O-S3</v>
          </cell>
          <cell r="B416" t="str">
            <v>VAR_cap</v>
          </cell>
          <cell r="C416" t="str">
            <v>-</v>
          </cell>
          <cell r="H416">
            <v>8.5147093695731195E-9</v>
          </cell>
        </row>
        <row r="417">
          <cell r="A417" t="str">
            <v>T_C-HYBGSLEXT</v>
          </cell>
          <cell r="B417" t="str">
            <v>VAR_fout</v>
          </cell>
          <cell r="C417" t="str">
            <v>CO2_T</v>
          </cell>
        </row>
        <row r="418">
          <cell r="A418" t="str">
            <v>T_C-HYBGSLEXT</v>
          </cell>
          <cell r="B418" t="str">
            <v>VAR_fout</v>
          </cell>
          <cell r="C418" t="str">
            <v>TPCAR</v>
          </cell>
        </row>
        <row r="419">
          <cell r="A419" t="str">
            <v>T_C-HYBGSLEXT</v>
          </cell>
          <cell r="B419" t="str">
            <v>VAR_fin</v>
          </cell>
          <cell r="C419" t="str">
            <v>TGSL</v>
          </cell>
        </row>
        <row r="420">
          <cell r="A420" t="str">
            <v>T_C-HYBGSLEXT</v>
          </cell>
          <cell r="B420" t="str">
            <v>VAR_cap</v>
          </cell>
          <cell r="C420" t="str">
            <v>-</v>
          </cell>
        </row>
        <row r="421">
          <cell r="A421" t="str">
            <v>TPAVDKEREXT</v>
          </cell>
          <cell r="B421" t="str">
            <v>VAR_fout</v>
          </cell>
          <cell r="C421" t="str">
            <v>CO2_T</v>
          </cell>
          <cell r="H421">
            <v>185.675788544743</v>
          </cell>
          <cell r="I421">
            <v>154.38211110512901</v>
          </cell>
          <cell r="J421">
            <v>123.088433665514</v>
          </cell>
        </row>
        <row r="422">
          <cell r="A422" t="str">
            <v>TPAVDKEREXT</v>
          </cell>
          <cell r="B422" t="str">
            <v>VAR_fout</v>
          </cell>
          <cell r="C422" t="str">
            <v>TPAVD</v>
          </cell>
          <cell r="H422">
            <v>2.5504916008893299</v>
          </cell>
          <cell r="I422">
            <v>2.1206333943012199</v>
          </cell>
          <cell r="J422">
            <v>1.6907751877131001</v>
          </cell>
        </row>
        <row r="423">
          <cell r="A423" t="str">
            <v>TPAVDKEREXT</v>
          </cell>
          <cell r="B423" t="str">
            <v>VAR_fin</v>
          </cell>
          <cell r="C423" t="str">
            <v>TKER</v>
          </cell>
          <cell r="H423">
            <v>2.5504916008893299</v>
          </cell>
          <cell r="I423">
            <v>2.1206333943012199</v>
          </cell>
          <cell r="J423">
            <v>1.6907751877131001</v>
          </cell>
        </row>
        <row r="424">
          <cell r="A424" t="str">
            <v>TPAVDKEREXT</v>
          </cell>
          <cell r="B424" t="str">
            <v>VAR_ncap</v>
          </cell>
          <cell r="C424" t="str">
            <v>-</v>
          </cell>
          <cell r="H424">
            <v>0.83451232176836398</v>
          </cell>
          <cell r="I424">
            <v>0.77400988380406599</v>
          </cell>
          <cell r="J424">
            <v>1.03009970466774</v>
          </cell>
        </row>
        <row r="425">
          <cell r="A425" t="str">
            <v>TPAVDKEREXT</v>
          </cell>
          <cell r="B425" t="str">
            <v>VAR_cap</v>
          </cell>
          <cell r="C425" t="str">
            <v>-</v>
          </cell>
          <cell r="H425">
            <v>3.2093042570679398</v>
          </cell>
          <cell r="I425">
            <v>2.4451193437518048</v>
          </cell>
          <cell r="J425">
            <v>1.8711347786485459</v>
          </cell>
        </row>
        <row r="426">
          <cell r="A426" t="str">
            <v>T_C-ICE-GSL-S1</v>
          </cell>
          <cell r="B426" t="str">
            <v>VAR_fout</v>
          </cell>
          <cell r="C426" t="str">
            <v>CO2_T</v>
          </cell>
          <cell r="H426">
            <v>46.994208631085847</v>
          </cell>
          <cell r="I426">
            <v>6.2309619996654853</v>
          </cell>
        </row>
        <row r="427">
          <cell r="A427" t="str">
            <v>T_C-ICE-GSL-S1</v>
          </cell>
          <cell r="B427" t="str">
            <v>VAR_fout</v>
          </cell>
          <cell r="C427" t="str">
            <v>TPCAR</v>
          </cell>
          <cell r="H427">
            <v>0.38164433330953768</v>
          </cell>
          <cell r="I427">
            <v>5.0566330052464324E-2</v>
          </cell>
        </row>
        <row r="428">
          <cell r="A428" t="str">
            <v>T_C-ICE-GSL-S1</v>
          </cell>
          <cell r="B428" t="str">
            <v>VAR_fin</v>
          </cell>
          <cell r="C428" t="str">
            <v>TGSL</v>
          </cell>
          <cell r="H428">
            <v>0.63677789473016166</v>
          </cell>
          <cell r="I428">
            <v>8.4430379399261291E-2</v>
          </cell>
        </row>
        <row r="429">
          <cell r="A429" t="str">
            <v>T_C-ICE-GSL-S1</v>
          </cell>
          <cell r="B429" t="str">
            <v>VAR_ncap</v>
          </cell>
          <cell r="C429" t="str">
            <v>-</v>
          </cell>
        </row>
        <row r="430">
          <cell r="A430" t="str">
            <v>T_C-ICE-GSL-S1</v>
          </cell>
          <cell r="B430" t="str">
            <v>VAR_cap</v>
          </cell>
          <cell r="C430" t="str">
            <v>-</v>
          </cell>
          <cell r="H430">
            <v>5.7992799965341832E-2</v>
          </cell>
          <cell r="I430">
            <v>7.6823769220128856E-3</v>
          </cell>
        </row>
        <row r="431">
          <cell r="A431" t="str">
            <v>V2G</v>
          </cell>
          <cell r="B431" t="str">
            <v>VAR_fout</v>
          </cell>
          <cell r="C431" t="str">
            <v>ELC35</v>
          </cell>
          <cell r="H431">
            <v>8.899217784286545E-2</v>
          </cell>
          <cell r="I431">
            <v>8.8553326385706496E-2</v>
          </cell>
          <cell r="J431">
            <v>7.8935254891164507E-3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T-ELC-Bus_c_BatSTGout_S1</v>
          </cell>
          <cell r="H432">
            <v>2.7840499080194429E-3</v>
          </cell>
          <cell r="I432">
            <v>1.9414403552995491E-3</v>
          </cell>
          <cell r="J432">
            <v>1.3923798030590506E-4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T-ELC-Bus_c_BatSTGout_S2</v>
          </cell>
          <cell r="H433">
            <v>2.7621740588714759E-3</v>
          </cell>
          <cell r="I433">
            <v>2.190042989470467E-3</v>
          </cell>
          <cell r="J433">
            <v>1.3769456317793766E-4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T-ELC-Bus_c_BatSTGout_S3</v>
          </cell>
          <cell r="H434">
            <v>1.367306794739048E-3</v>
          </cell>
          <cell r="I434">
            <v>1.2776702982431785E-3</v>
          </cell>
          <cell r="J434">
            <v>1.2016572115780365E-4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T-ELC-Bus_c_BatSTGout_S4</v>
          </cell>
          <cell r="H435">
            <v>1.932349635926061E-5</v>
          </cell>
          <cell r="I435">
            <v>2.1944175076409666E-4</v>
          </cell>
          <cell r="J435">
            <v>1.5396564458044433E-4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T-ELC-car-BatSTGOut_S1</v>
          </cell>
          <cell r="H436">
            <v>1.4660595414141282E-2</v>
          </cell>
          <cell r="I436">
            <v>1.6075904897246269E-2</v>
          </cell>
          <cell r="J436">
            <v>2.2162984692197731E-4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T-ELC-car-BatSTGOut_S2</v>
          </cell>
          <cell r="H437">
            <v>9.3771163700429715E-3</v>
          </cell>
          <cell r="I437">
            <v>1.0579231939584904E-2</v>
          </cell>
          <cell r="J437">
            <v>1.7554504024001362E-4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T-ELC-car-BatSTGOut_S3</v>
          </cell>
          <cell r="H438">
            <v>1.0853502846260731E-2</v>
          </cell>
          <cell r="I438">
            <v>1.0725846210035412E-2</v>
          </cell>
          <cell r="J438">
            <v>1.7691362965741671E-4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T-ELC-car-BatSTGOut_S4</v>
          </cell>
          <cell r="H439">
            <v>9.2741329769608465E-3</v>
          </cell>
          <cell r="I439">
            <v>1.0444075504118099E-2</v>
          </cell>
          <cell r="J439">
            <v>1.7059490484122949E-4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T-ELC-car-PlgSTGOut_S1</v>
          </cell>
          <cell r="H440">
            <v>9.2932145516113848E-4</v>
          </cell>
          <cell r="I440">
            <v>7.3404962624999529E-4</v>
          </cell>
          <cell r="J440">
            <v>1.8859985875075718E-4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T-ELC-car-PlgSTGOut_S2</v>
          </cell>
          <cell r="H441">
            <v>2.2355666013062006E-4</v>
          </cell>
          <cell r="I441">
            <v>3.0057327474385803E-4</v>
          </cell>
          <cell r="J441">
            <v>7.8408316698068675E-4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T-ELC-car-PlgSTGOut_S3</v>
          </cell>
          <cell r="H442">
            <v>1.2213327192737405E-2</v>
          </cell>
          <cell r="I442">
            <v>1.1960769814105911E-2</v>
          </cell>
          <cell r="J442">
            <v>1.7284650841119218E-4</v>
          </cell>
        </row>
        <row r="443">
          <cell r="A443" t="str">
            <v>V2G</v>
          </cell>
          <cell r="B443" t="str">
            <v>VAR_fin</v>
          </cell>
          <cell r="C443" t="str">
            <v>T-ELC-TWSTGout_S1</v>
          </cell>
          <cell r="H443">
            <v>2.3634828649662094E-3</v>
          </cell>
          <cell r="I443">
            <v>1.7433352811508129E-3</v>
          </cell>
          <cell r="J443">
            <v>2.5100606243319247E-4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T-ELC-car-PlgSTGOut_S4</v>
          </cell>
          <cell r="H444">
            <v>1.2796255293272573E-3</v>
          </cell>
          <cell r="I444">
            <v>4.1939616978194328E-3</v>
          </cell>
          <cell r="J444">
            <v>3.837585459084667E-4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T-ELC-TWSTGout_S2</v>
          </cell>
          <cell r="H445">
            <v>2.7370189131280245E-3</v>
          </cell>
          <cell r="I445">
            <v>2.2814613930159985E-3</v>
          </cell>
          <cell r="J445">
            <v>8.2367755760285721E-4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T-ELC-TWSTGout_S3</v>
          </cell>
          <cell r="H446">
            <v>3.5315881550244169E-3</v>
          </cell>
          <cell r="I446">
            <v>3.1173446632016774E-3</v>
          </cell>
          <cell r="J446">
            <v>1.2253241256117518E-3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T-ELC-TWSTGout_S4</v>
          </cell>
          <cell r="H447">
            <v>3.3829858828369136E-3</v>
          </cell>
          <cell r="I447">
            <v>3.3620070815975167E-3</v>
          </cell>
          <cell r="J447">
            <v>1.9199643629853279E-3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T-ELC-Bus_u_BatSTGout_S1</v>
          </cell>
          <cell r="H448">
            <v>1.5584711465619207E-4</v>
          </cell>
          <cell r="I448">
            <v>1.2227957405048246E-4</v>
          </cell>
          <cell r="J448">
            <v>7.9906129299809483E-5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T-ELC-Bus_u_BatSTGout_S2</v>
          </cell>
          <cell r="H449">
            <v>1.4766053476365147E-4</v>
          </cell>
          <cell r="I449">
            <v>1.1351211751403162E-4</v>
          </cell>
          <cell r="J449">
            <v>7.6163520940986768E-5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T-ELC-Bus_u_BatSTGout_S3</v>
          </cell>
          <cell r="H450">
            <v>6.4743544490740337E-5</v>
          </cell>
          <cell r="I450">
            <v>5.7069184982444156E-5</v>
          </cell>
          <cell r="J450">
            <v>4.3398039257639328E-5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T-ELC-Bus_u_BatSTGout_S4</v>
          </cell>
          <cell r="H451">
            <v>6.1833994736353723E-3</v>
          </cell>
          <cell r="I451">
            <v>1.7335042142303179E-4</v>
          </cell>
          <cell r="J451">
            <v>9.3914700217680261E-5</v>
          </cell>
        </row>
        <row r="452">
          <cell r="A452" t="str">
            <v>V2G</v>
          </cell>
          <cell r="B452" t="str">
            <v>VAR_fin</v>
          </cell>
          <cell r="C452" t="str">
            <v>T-ELC-LGV_BatSTGout</v>
          </cell>
          <cell r="H452">
            <v>3.7501093611255987E-4</v>
          </cell>
          <cell r="I452">
            <v>2.731527809742438E-4</v>
          </cell>
          <cell r="J452">
            <v>1.4637010724326776E-4</v>
          </cell>
        </row>
        <row r="453">
          <cell r="A453" t="str">
            <v>V2G</v>
          </cell>
          <cell r="B453" t="str">
            <v>VAR_fin</v>
          </cell>
          <cell r="C453" t="str">
            <v>T-ELC-HGV_BatSTGout</v>
          </cell>
          <cell r="H453">
            <v>4.3478142047055687E-3</v>
          </cell>
          <cell r="I453">
            <v>6.7051312392646858E-3</v>
          </cell>
          <cell r="J453">
            <v>4.3844217181317712E-4</v>
          </cell>
        </row>
        <row r="454">
          <cell r="A454" t="str">
            <v>V2G</v>
          </cell>
          <cell r="B454" t="str">
            <v>VAR_ncap</v>
          </cell>
          <cell r="C454" t="str">
            <v>-</v>
          </cell>
          <cell r="H454">
            <v>0.32873034725216999</v>
          </cell>
          <cell r="I454">
            <v>1.95864855570285E-4</v>
          </cell>
          <cell r="J454">
            <v>5.9916560646540403E-6</v>
          </cell>
        </row>
        <row r="455">
          <cell r="A455" t="str">
            <v>V2G</v>
          </cell>
          <cell r="B455" t="str">
            <v>VAR_cap</v>
          </cell>
          <cell r="C455" t="str">
            <v>-</v>
          </cell>
          <cell r="H455">
            <v>0.33212255610359703</v>
          </cell>
          <cell r="I455">
            <v>0.3312395740456</v>
          </cell>
          <cell r="J455">
            <v>1.0525036649807001E-2</v>
          </cell>
        </row>
        <row r="456">
          <cell r="A456" t="str">
            <v>TPSHPELCEXT</v>
          </cell>
          <cell r="B456" t="str">
            <v>VAR_fout</v>
          </cell>
          <cell r="C456" t="str">
            <v>TPSHP</v>
          </cell>
          <cell r="H456">
            <v>8.9556525306526094E-2</v>
          </cell>
          <cell r="I456">
            <v>2.09068350572797</v>
          </cell>
          <cell r="J456">
            <v>14.131654901169499</v>
          </cell>
        </row>
        <row r="457">
          <cell r="A457" t="str">
            <v>TPSHPELCEXT</v>
          </cell>
          <cell r="B457" t="str">
            <v>VAR_fin</v>
          </cell>
          <cell r="C457" t="str">
            <v>TELC</v>
          </cell>
          <cell r="H457">
            <v>3.629603668810738E-2</v>
          </cell>
          <cell r="I457">
            <v>0.84732547368710476</v>
          </cell>
          <cell r="J457">
            <v>5.7273667440863099</v>
          </cell>
        </row>
        <row r="458">
          <cell r="A458" t="str">
            <v>TPSHPELCEXT</v>
          </cell>
          <cell r="B458" t="str">
            <v>VAR_ncap</v>
          </cell>
          <cell r="C458" t="str">
            <v>-</v>
          </cell>
          <cell r="H458">
            <v>5.59293949910962E-5</v>
          </cell>
          <cell r="I458">
            <v>2.0442020228998099</v>
          </cell>
          <cell r="J458">
            <v>12.0874022463633</v>
          </cell>
        </row>
        <row r="459">
          <cell r="A459" t="str">
            <v>TPSHPELCEXT</v>
          </cell>
          <cell r="B459" t="str">
            <v>VAR_cap</v>
          </cell>
          <cell r="C459" t="str">
            <v>-</v>
          </cell>
          <cell r="H459">
            <v>8.9550257466265382E-2</v>
          </cell>
          <cell r="I459">
            <v>2.0906614346582457</v>
          </cell>
          <cell r="J459">
            <v>14.131646969568926</v>
          </cell>
        </row>
        <row r="460">
          <cell r="A460" t="str">
            <v>TFLGV-ICEGSL</v>
          </cell>
          <cell r="B460" t="str">
            <v>VAR_fout</v>
          </cell>
          <cell r="C460" t="str">
            <v>CO2_T</v>
          </cell>
          <cell r="H460">
            <v>71.468053093039799</v>
          </cell>
          <cell r="I460">
            <v>8.1549773902139695E-3</v>
          </cell>
        </row>
        <row r="461">
          <cell r="A461" t="str">
            <v>TFLGV-ICEGSL</v>
          </cell>
          <cell r="B461" t="str">
            <v>VAR_fout</v>
          </cell>
          <cell r="C461" t="str">
            <v>TFLGV</v>
          </cell>
          <cell r="H461">
            <v>0.34013138982965568</v>
          </cell>
          <cell r="I461">
            <v>3.8811240459452647E-5</v>
          </cell>
        </row>
        <row r="462">
          <cell r="A462" t="str">
            <v>TFLGV-ICEGSL</v>
          </cell>
          <cell r="B462" t="str">
            <v>VAR_fin</v>
          </cell>
          <cell r="C462" t="str">
            <v>TGSL</v>
          </cell>
          <cell r="H462">
            <v>0.96840180342872384</v>
          </cell>
          <cell r="I462">
            <v>1.105010486478859E-4</v>
          </cell>
        </row>
        <row r="463">
          <cell r="A463" t="str">
            <v>TFLGV-ICEGSL</v>
          </cell>
          <cell r="B463" t="str">
            <v>VAR_ncap</v>
          </cell>
          <cell r="C463" t="str">
            <v>-</v>
          </cell>
        </row>
        <row r="464">
          <cell r="A464" t="str">
            <v>TFLGV-ICEGSL</v>
          </cell>
          <cell r="B464" t="str">
            <v>VAR_cap</v>
          </cell>
          <cell r="C464" t="str">
            <v>-</v>
          </cell>
          <cell r="H464">
            <v>3.3852839584814373E-2</v>
          </cell>
          <cell r="I464">
            <v>3.0799172257003557E-6</v>
          </cell>
        </row>
        <row r="465">
          <cell r="A465" t="str">
            <v>T_C-ICE-GSL-S2</v>
          </cell>
          <cell r="B465" t="str">
            <v>VAR_fout</v>
          </cell>
          <cell r="C465" t="str">
            <v>CO2_T</v>
          </cell>
          <cell r="H465">
            <v>54.401051921244864</v>
          </cell>
          <cell r="I465">
            <v>5.7763947475906479</v>
          </cell>
        </row>
        <row r="466">
          <cell r="A466" t="str">
            <v>T_C-ICE-GSL-S2</v>
          </cell>
          <cell r="B466" t="str">
            <v>VAR_fout</v>
          </cell>
          <cell r="C466" t="str">
            <v>TPCAR</v>
          </cell>
          <cell r="H466">
            <v>0.41669036505291812</v>
          </cell>
          <cell r="I466">
            <v>4.3303606372562468E-2</v>
          </cell>
        </row>
        <row r="467">
          <cell r="A467" t="str">
            <v>T_C-ICE-GSL-S2</v>
          </cell>
          <cell r="B467" t="str">
            <v>VAR_fin</v>
          </cell>
          <cell r="C467" t="str">
            <v>TGSL</v>
          </cell>
          <cell r="H467">
            <v>0.7371416249491175</v>
          </cell>
          <cell r="I467">
            <v>7.8270931539168559E-2</v>
          </cell>
        </row>
        <row r="468">
          <cell r="A468" t="str">
            <v>T_C-ICE-GSL-S2</v>
          </cell>
          <cell r="B468" t="str">
            <v>VAR_ncap</v>
          </cell>
          <cell r="C468" t="str">
            <v>-</v>
          </cell>
        </row>
        <row r="469">
          <cell r="A469" t="str">
            <v>T_C-ICE-GSL-S2</v>
          </cell>
          <cell r="B469" t="str">
            <v>VAR_cap</v>
          </cell>
          <cell r="C469" t="str">
            <v>-</v>
          </cell>
          <cell r="H469">
            <v>4.3918917447273186E-2</v>
          </cell>
          <cell r="I469">
            <v>4.5603131926618048E-3</v>
          </cell>
        </row>
        <row r="470">
          <cell r="A470" t="str">
            <v>T_C-ICE-DSL-S1</v>
          </cell>
          <cell r="B470" t="str">
            <v>VAR_fout</v>
          </cell>
          <cell r="C470" t="str">
            <v>CO2_T</v>
          </cell>
          <cell r="H470">
            <v>4.8209798740542806E-2</v>
          </cell>
          <cell r="I470">
            <v>1.1807529247964962E-2</v>
          </cell>
        </row>
        <row r="471">
          <cell r="A471" t="str">
            <v>T_C-ICE-DSL-S1</v>
          </cell>
          <cell r="B471" t="str">
            <v>VAR_fout</v>
          </cell>
          <cell r="C471" t="str">
            <v>TPCAR</v>
          </cell>
          <cell r="H471">
            <v>5.0997718557636569E-4</v>
          </cell>
          <cell r="I471">
            <v>1.0598130806210499E-4</v>
          </cell>
        </row>
        <row r="472">
          <cell r="A472" t="str">
            <v>T_C-ICE-DSL-S1</v>
          </cell>
          <cell r="B472" t="str">
            <v>VAR_fin</v>
          </cell>
          <cell r="C472" t="str">
            <v>TDSL</v>
          </cell>
          <cell r="H472">
            <v>6.577053034180463E-4</v>
          </cell>
          <cell r="I472">
            <v>1.6108498291903062E-4</v>
          </cell>
        </row>
        <row r="473">
          <cell r="A473" t="str">
            <v>T_C-ICE-DSL-S1</v>
          </cell>
          <cell r="B473" t="str">
            <v>VAR_ncap</v>
          </cell>
          <cell r="C473" t="str">
            <v>-</v>
          </cell>
        </row>
        <row r="474">
          <cell r="A474" t="str">
            <v>T_C-ICE-DSL-S1</v>
          </cell>
          <cell r="B474" t="str">
            <v>VAR_cap</v>
          </cell>
          <cell r="C474" t="str">
            <v>-</v>
          </cell>
          <cell r="H474">
            <v>7.2878268805077334E-5</v>
          </cell>
          <cell r="I474">
            <v>1.4818654679366538E-5</v>
          </cell>
        </row>
        <row r="475">
          <cell r="A475" t="str">
            <v>T_C-ICE-GSL-S3</v>
          </cell>
          <cell r="B475" t="str">
            <v>VAR_fout</v>
          </cell>
          <cell r="C475" t="str">
            <v>CO2_T</v>
          </cell>
          <cell r="H475">
            <v>73.287945912072487</v>
          </cell>
          <cell r="I475">
            <v>7.2980730518954946</v>
          </cell>
        </row>
        <row r="476">
          <cell r="A476" t="str">
            <v>T_C-ICE-GSL-S3</v>
          </cell>
          <cell r="B476" t="str">
            <v>VAR_fout</v>
          </cell>
          <cell r="C476" t="str">
            <v>TPCAR</v>
          </cell>
          <cell r="H476">
            <v>0.48828947400912792</v>
          </cell>
          <cell r="I476">
            <v>4.7680768785331333E-2</v>
          </cell>
        </row>
        <row r="477">
          <cell r="A477" t="str">
            <v>T_C-ICE-GSL-S3</v>
          </cell>
          <cell r="B477" t="str">
            <v>VAR_fin</v>
          </cell>
          <cell r="C477" t="str">
            <v>TGSL</v>
          </cell>
          <cell r="H477">
            <v>0.99306159772456049</v>
          </cell>
          <cell r="I477">
            <v>9.8889878751971361E-2</v>
          </cell>
        </row>
        <row r="478">
          <cell r="A478" t="str">
            <v>T_C-ICE-GSL-S3</v>
          </cell>
          <cell r="B478" t="str">
            <v>VAR_ncap</v>
          </cell>
          <cell r="C478" t="str">
            <v>-</v>
          </cell>
        </row>
        <row r="479">
          <cell r="A479" t="str">
            <v>T_C-ICE-GSL-S3</v>
          </cell>
          <cell r="B479" t="str">
            <v>VAR_cap</v>
          </cell>
          <cell r="C479" t="str">
            <v>-</v>
          </cell>
          <cell r="H479">
            <v>3.3609050462000155E-2</v>
          </cell>
          <cell r="I479">
            <v>3.3049598763576571E-3</v>
          </cell>
        </row>
        <row r="480">
          <cell r="A480" t="str">
            <v>T_C-ICE-DSL-S2</v>
          </cell>
          <cell r="B480" t="str">
            <v>VAR_fout</v>
          </cell>
          <cell r="C480" t="str">
            <v>CO2_T</v>
          </cell>
          <cell r="H480">
            <v>1.5402554527837617</v>
          </cell>
          <cell r="I480">
            <v>1.288269892868104E-2</v>
          </cell>
        </row>
        <row r="481">
          <cell r="A481" t="str">
            <v>T_C-ICE-DSL-S2</v>
          </cell>
          <cell r="B481" t="str">
            <v>VAR_fout</v>
          </cell>
          <cell r="C481" t="str">
            <v>TPCAR</v>
          </cell>
          <cell r="H481">
            <v>1.7353328580027007E-2</v>
          </cell>
          <cell r="I481">
            <v>9.4046942754222142E-5</v>
          </cell>
        </row>
        <row r="482">
          <cell r="A482" t="str">
            <v>T_C-ICE-DSL-S2</v>
          </cell>
          <cell r="B482" t="str">
            <v>VAR_fin</v>
          </cell>
          <cell r="C482" t="str">
            <v>TDSL</v>
          </cell>
          <cell r="H482">
            <v>2.1013034826517913E-2</v>
          </cell>
          <cell r="I482">
            <v>1.7575305496154222E-4</v>
          </cell>
        </row>
        <row r="483">
          <cell r="A483" t="str">
            <v>T_C-ICE-DSL-S2</v>
          </cell>
          <cell r="B483" t="str">
            <v>VAR_ncap</v>
          </cell>
          <cell r="C483" t="str">
            <v>-</v>
          </cell>
        </row>
        <row r="484">
          <cell r="A484" t="str">
            <v>T_C-ICE-DSL-S2</v>
          </cell>
          <cell r="B484" t="str">
            <v>VAR_cap</v>
          </cell>
          <cell r="C484" t="str">
            <v>-</v>
          </cell>
          <cell r="H484">
            <v>1.799236389173037E-3</v>
          </cell>
          <cell r="I484">
            <v>8.3536145369682063E-6</v>
          </cell>
        </row>
        <row r="485">
          <cell r="A485" t="str">
            <v>TPRLPH2OFCL</v>
          </cell>
          <cell r="B485" t="str">
            <v>VAR_fout</v>
          </cell>
          <cell r="C485" t="str">
            <v>TPRLP</v>
          </cell>
          <cell r="I485">
            <v>1.3005679865032936E-6</v>
          </cell>
          <cell r="J485">
            <v>2.0200935841390658E-6</v>
          </cell>
        </row>
        <row r="486">
          <cell r="A486" t="str">
            <v>TPRLPH2OFCL</v>
          </cell>
          <cell r="B486" t="str">
            <v>VAR_fin</v>
          </cell>
          <cell r="C486" t="str">
            <v>TH2O</v>
          </cell>
          <cell r="I486">
            <v>7.2487816810507915E-5</v>
          </cell>
          <cell r="J486">
            <v>1.045592905490596E-4</v>
          </cell>
        </row>
        <row r="487">
          <cell r="A487" t="str">
            <v>TPRLPH2OFCL</v>
          </cell>
          <cell r="B487" t="str">
            <v>VAR_ncap</v>
          </cell>
          <cell r="C487" t="str">
            <v>-</v>
          </cell>
          <cell r="I487">
            <v>4.40885813419563E-8</v>
          </cell>
        </row>
        <row r="488">
          <cell r="A488" t="str">
            <v>TPRLPH2OFCL</v>
          </cell>
          <cell r="B488" t="str">
            <v>VAR_cap</v>
          </cell>
          <cell r="C488" t="str">
            <v>-</v>
          </cell>
          <cell r="I488">
            <v>4.40885813419563E-8</v>
          </cell>
          <cell r="J488">
            <v>4.40885813419563E-8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H489">
            <v>121.71556546787481</v>
          </cell>
          <cell r="I489">
            <v>14.669820744249348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H490">
            <v>0.71572609267264897</v>
          </cell>
          <cell r="I490">
            <v>8.6360414624836665E-2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H491">
            <v>1.6492624047137519</v>
          </cell>
          <cell r="I491">
            <v>0.19877805886516736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H493">
            <v>8.0463960582924807E-2</v>
          </cell>
          <cell r="I493">
            <v>9.6938971986952182E-3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H494">
            <v>10.139469251047821</v>
          </cell>
          <cell r="I494">
            <v>1.1871634561163871E-2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H495">
            <v>8.1774211027267521E-2</v>
          </cell>
          <cell r="I495">
            <v>7.7201621793184427E-5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H496">
            <v>0.1383283663171605</v>
          </cell>
          <cell r="I496">
            <v>1.619595438085112E-4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H498">
            <v>5.6372517079850363E-3</v>
          </cell>
          <cell r="I498">
            <v>6.0971326946270973E-6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H499">
            <v>5.6777493832411761</v>
          </cell>
          <cell r="I499">
            <v>8.5182299919101395E-3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H500">
            <v>3.0258790128600312E-2</v>
          </cell>
          <cell r="I500">
            <v>4.9358187278134024E-5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H501">
            <v>7.7459063891421348E-2</v>
          </cell>
          <cell r="I501">
            <v>1.1621050466453129E-4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H503">
            <v>3.3808731093585209E-3</v>
          </cell>
          <cell r="I503">
            <v>4.5479557518916695E-6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H508">
            <v>1306.9546665866601</v>
          </cell>
          <cell r="I508">
            <v>513.95910288319203</v>
          </cell>
          <cell r="J508">
            <v>12.048502691046901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H509">
            <v>18.460148036648548</v>
          </cell>
          <cell r="I509">
            <v>7.8455233646636495</v>
          </cell>
          <cell r="J509">
            <v>1.0694565046057962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H510">
            <v>17.709412826377505</v>
          </cell>
          <cell r="I510">
            <v>6.9642154862221188</v>
          </cell>
          <cell r="J510">
            <v>0.16325884405212523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H511">
            <v>1.0260738851475135</v>
          </cell>
          <cell r="I511">
            <v>0.99832751302044731</v>
          </cell>
          <cell r="J511">
            <v>0.92214987156068717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H512">
            <v>4.3022681659997484E-3</v>
          </cell>
          <cell r="I512">
            <v>6.1088571871314732E-3</v>
          </cell>
          <cell r="J512">
            <v>1.4355753041524946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H513">
            <v>3.7490633722347369E-4</v>
          </cell>
          <cell r="I513">
            <v>5.2795028843551051E-4</v>
          </cell>
          <cell r="J513">
            <v>0.12050002182904243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H514">
            <v>1.15718748254589E-3</v>
          </cell>
          <cell r="I514">
            <v>9.4004820084469295E-4</v>
          </cell>
          <cell r="J514">
            <v>0.57044476290271195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H515">
            <v>1.5268572051283114E-3</v>
          </cell>
          <cell r="I515">
            <v>2.1442118170828099E-3</v>
          </cell>
          <cell r="J515">
            <v>0.57111918629972347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H516">
            <v>9.9325175641480309E-4</v>
          </cell>
          <cell r="I516">
            <v>8.947152786342135E-4</v>
          </cell>
          <cell r="J516">
            <v>6.7298219809138989E-4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H517">
            <v>1.539895519118934E-4</v>
          </cell>
          <cell r="I517">
            <v>1.3679396423486867E-4</v>
          </cell>
          <cell r="J517">
            <v>1.0122225788153259E-4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H518">
            <v>1.7955616693672601E-4</v>
          </cell>
          <cell r="I518">
            <v>1.19271494675559E-4</v>
          </cell>
          <cell r="J518">
            <v>1.2214692443587399E-4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H519">
            <v>3.7547217546600047E-4</v>
          </cell>
          <cell r="I519">
            <v>3.3802882493966902E-4</v>
          </cell>
          <cell r="J519">
            <v>2.6145324224313802E-4</v>
          </cell>
        </row>
        <row r="520">
          <cell r="A520" t="str">
            <v>TFRLFH2OFCL</v>
          </cell>
          <cell r="B520" t="str">
            <v>VAR_ncap</v>
          </cell>
          <cell r="C520" t="str">
            <v>-</v>
          </cell>
          <cell r="I520">
            <v>1.03344286964436E-7</v>
          </cell>
        </row>
        <row r="521">
          <cell r="A521" t="str">
            <v>TFRLFH2OFCL</v>
          </cell>
          <cell r="B521" t="str">
            <v>VAR_cap</v>
          </cell>
          <cell r="C521" t="str">
            <v>-</v>
          </cell>
          <cell r="I521">
            <v>1.03344286964436E-7</v>
          </cell>
          <cell r="J521">
            <v>1.03344286964436E-7</v>
          </cell>
        </row>
        <row r="522">
          <cell r="A522" t="str">
            <v>T_TW-BEVELC-S3</v>
          </cell>
          <cell r="B522" t="str">
            <v>VAR_fout</v>
          </cell>
          <cell r="C522" t="str">
            <v>TPTWL</v>
          </cell>
          <cell r="H522">
            <v>8.8696257525963716E-4</v>
          </cell>
          <cell r="I522">
            <v>6.464758583574644E-4</v>
          </cell>
          <cell r="J522">
            <v>3.5814777295052283E-4</v>
          </cell>
        </row>
        <row r="523">
          <cell r="A523" t="str">
            <v>T_TW-BEVELC-S3</v>
          </cell>
          <cell r="B523" t="str">
            <v>VAR_fin</v>
          </cell>
          <cell r="C523" t="str">
            <v>T-ELC-TWSTGout_S3</v>
          </cell>
          <cell r="H523">
            <v>2.1429697684442837E-4</v>
          </cell>
          <cell r="I523">
            <v>1.540961972763216E-4</v>
          </cell>
          <cell r="J523">
            <v>8.246430009565235E-5</v>
          </cell>
        </row>
        <row r="524">
          <cell r="A524" t="str">
            <v>T_TW-BEVELC-S3</v>
          </cell>
          <cell r="B524" t="str">
            <v>VAR_ncap</v>
          </cell>
          <cell r="C524" t="str">
            <v>-</v>
          </cell>
          <cell r="H524">
            <v>4.6111295763940302E-5</v>
          </cell>
          <cell r="I524">
            <v>4.4456208455838897E-5</v>
          </cell>
          <cell r="J524">
            <v>4.8440558175065498E-5</v>
          </cell>
        </row>
        <row r="525">
          <cell r="A525" t="str">
            <v>T_TW-BEVELC-S3</v>
          </cell>
          <cell r="B525" t="str">
            <v>VAR_cap</v>
          </cell>
          <cell r="C525" t="str">
            <v>-</v>
          </cell>
          <cell r="H525">
            <v>3.3867752697521749E-4</v>
          </cell>
          <cell r="I525">
            <v>2.5007044168098391E-4</v>
          </cell>
          <cell r="J525">
            <v>1.3911606402593608E-4</v>
          </cell>
        </row>
        <row r="526">
          <cell r="A526" t="str">
            <v>T_TW-BEVELC-S4</v>
          </cell>
          <cell r="B526" t="str">
            <v>VAR_fout</v>
          </cell>
          <cell r="C526" t="str">
            <v>TPTWL</v>
          </cell>
          <cell r="H526">
            <v>5.7809042055757852E-4</v>
          </cell>
          <cell r="I526">
            <v>6.9788296259070326E-4</v>
          </cell>
          <cell r="J526">
            <v>4.7888068535088856E-4</v>
          </cell>
        </row>
        <row r="527">
          <cell r="A527" t="str">
            <v>T_TW-BEVELC-S4</v>
          </cell>
          <cell r="B527" t="str">
            <v>VAR_fin</v>
          </cell>
          <cell r="C527" t="str">
            <v>T-ELC-TWSTGout_S4</v>
          </cell>
          <cell r="H527">
            <v>1.5078993971930478E-4</v>
          </cell>
          <cell r="I527">
            <v>1.8059615618777985E-4</v>
          </cell>
          <cell r="J527">
            <v>1.204467617616076E-4</v>
          </cell>
        </row>
        <row r="528">
          <cell r="A528" t="str">
            <v>T_TW-BEVELC-S4</v>
          </cell>
          <cell r="B528" t="str">
            <v>VAR_ncap</v>
          </cell>
          <cell r="C528" t="str">
            <v>-</v>
          </cell>
          <cell r="H528">
            <v>4.29737155710544E-5</v>
          </cell>
          <cell r="I528">
            <v>4.8623369492160797E-5</v>
          </cell>
          <cell r="J528">
            <v>4.4956627608433398E-5</v>
          </cell>
        </row>
        <row r="529">
          <cell r="A529" t="str">
            <v>T_TW-BEVELC-S4</v>
          </cell>
          <cell r="B529" t="str">
            <v>VAR_cap</v>
          </cell>
          <cell r="C529" t="str">
            <v>-</v>
          </cell>
          <cell r="H529">
            <v>2.2171489661713747E-4</v>
          </cell>
          <cell r="I529">
            <v>2.6969170149067671E-4</v>
          </cell>
          <cell r="J529">
            <v>1.8627597230626075E-4</v>
          </cell>
        </row>
        <row r="530">
          <cell r="A530" t="str">
            <v>T_B_u-BeVELCEXT</v>
          </cell>
          <cell r="B530" t="str">
            <v>VAR_fout</v>
          </cell>
          <cell r="C530" t="str">
            <v>TPBSu</v>
          </cell>
        </row>
        <row r="531">
          <cell r="A531" t="str">
            <v>T_B_u-BeVELCEXT</v>
          </cell>
          <cell r="B531" t="str">
            <v>VAR_fin</v>
          </cell>
          <cell r="C531" t="str">
            <v>TELC</v>
          </cell>
        </row>
        <row r="532">
          <cell r="A532" t="str">
            <v>T_B_u-BeVELCEXT</v>
          </cell>
          <cell r="B532" t="str">
            <v>VAR_cap</v>
          </cell>
          <cell r="C532" t="str">
            <v>-</v>
          </cell>
        </row>
        <row r="533">
          <cell r="A533" t="str">
            <v>T_B_u-HYBDSL-S1</v>
          </cell>
          <cell r="B533" t="str">
            <v>VAR_fout</v>
          </cell>
          <cell r="C533" t="str">
            <v>CO2_T</v>
          </cell>
          <cell r="H533">
            <v>3.3301444700767101E-5</v>
          </cell>
        </row>
        <row r="534">
          <cell r="A534" t="str">
            <v>T_B_u-HYBDSL-S1</v>
          </cell>
          <cell r="B534" t="str">
            <v>VAR_fout</v>
          </cell>
          <cell r="C534" t="str">
            <v>TPBSu</v>
          </cell>
          <cell r="H534">
            <v>8.8367492830550796E-8</v>
          </cell>
        </row>
        <row r="535">
          <cell r="A535" t="str">
            <v>T_B_u-HYBDSL-S1</v>
          </cell>
          <cell r="B535" t="str">
            <v>VAR_fin</v>
          </cell>
          <cell r="C535" t="str">
            <v>TDSL</v>
          </cell>
          <cell r="H535">
            <v>4.5431711733652199E-7</v>
          </cell>
        </row>
        <row r="536">
          <cell r="A536" t="str">
            <v>T_B_u-HYBDSL-S1</v>
          </cell>
          <cell r="B536" t="str">
            <v>VAR_ncap</v>
          </cell>
          <cell r="C536" t="str">
            <v>-</v>
          </cell>
          <cell r="H536">
            <v>1.24446733511077E-8</v>
          </cell>
        </row>
        <row r="537">
          <cell r="A537" t="str">
            <v>T_B_u-HYBDSL-S1</v>
          </cell>
          <cell r="B537" t="str">
            <v>VAR_cap</v>
          </cell>
          <cell r="C537" t="str">
            <v>-</v>
          </cell>
          <cell r="H537">
            <v>1.3663307687276032E-8</v>
          </cell>
          <cell r="I537">
            <v>2.9144677982799233E-11</v>
          </cell>
          <cell r="J537">
            <v>2.1838987558766801E-9</v>
          </cell>
        </row>
        <row r="538">
          <cell r="A538" t="str">
            <v>T_B_u-HYBDSL-S2</v>
          </cell>
          <cell r="B538" t="str">
            <v>VAR_fout</v>
          </cell>
          <cell r="C538" t="str">
            <v>CO2_T</v>
          </cell>
          <cell r="H538">
            <v>2.2997291092788702E-5</v>
          </cell>
        </row>
        <row r="539">
          <cell r="A539" t="str">
            <v>T_B_u-HYBDSL-S2</v>
          </cell>
          <cell r="B539" t="str">
            <v>VAR_fout</v>
          </cell>
          <cell r="C539" t="str">
            <v>TPBSu</v>
          </cell>
          <cell r="H539">
            <v>4.37352475729199E-8</v>
          </cell>
        </row>
        <row r="540">
          <cell r="A540" t="str">
            <v>T_B_u-HYBDSL-S2</v>
          </cell>
          <cell r="B540" t="str">
            <v>VAR_fin</v>
          </cell>
          <cell r="C540" t="str">
            <v>TDSL</v>
          </cell>
          <cell r="H540">
            <v>3.1374203400803169E-7</v>
          </cell>
        </row>
        <row r="541">
          <cell r="A541" t="str">
            <v>T_B_u-HYBDSL-S2</v>
          </cell>
          <cell r="B541" t="str">
            <v>VAR_ncap</v>
          </cell>
          <cell r="C541" t="str">
            <v>-</v>
          </cell>
          <cell r="H541">
            <v>1.2432065044894501E-8</v>
          </cell>
        </row>
        <row r="542">
          <cell r="A542" t="str">
            <v>T_B_u-HYBDSL-S2</v>
          </cell>
          <cell r="B542" t="str">
            <v>VAR_cap</v>
          </cell>
          <cell r="C542" t="str">
            <v>-</v>
          </cell>
          <cell r="H542">
            <v>1.2044636301354023E-8</v>
          </cell>
          <cell r="I542">
            <v>-5.0162648081149E-9</v>
          </cell>
          <cell r="J542">
            <v>2.18168614141297E-9</v>
          </cell>
        </row>
        <row r="543">
          <cell r="A543" t="str">
            <v>T_B_u-HYBDSL-S3</v>
          </cell>
          <cell r="B543" t="str">
            <v>VAR_fout</v>
          </cell>
          <cell r="C543" t="str">
            <v>CO2_T</v>
          </cell>
        </row>
        <row r="544">
          <cell r="A544" t="str">
            <v>T_B_u-HYBDSL-S3</v>
          </cell>
          <cell r="B544" t="str">
            <v>VAR_fout</v>
          </cell>
          <cell r="C544" t="str">
            <v>TPBSu</v>
          </cell>
        </row>
        <row r="545">
          <cell r="A545" t="str">
            <v>T_B_u-HYBDSL-S3</v>
          </cell>
          <cell r="B545" t="str">
            <v>VAR_fin</v>
          </cell>
          <cell r="C545" t="str">
            <v>TDSL</v>
          </cell>
        </row>
        <row r="546">
          <cell r="A546" t="str">
            <v>T_B_u-HYBDSL-S3</v>
          </cell>
          <cell r="B546" t="str">
            <v>VAR_ncap</v>
          </cell>
          <cell r="C546" t="str">
            <v>-</v>
          </cell>
        </row>
        <row r="547">
          <cell r="A547" t="str">
            <v>T_B_u-HYBDSL-S3</v>
          </cell>
          <cell r="B547" t="str">
            <v>VAR_cap</v>
          </cell>
          <cell r="C547" t="str">
            <v>-</v>
          </cell>
          <cell r="I547">
            <v>-1.07743140606799E-8</v>
          </cell>
        </row>
        <row r="548">
          <cell r="A548" t="str">
            <v>T_C-HY-GSL-S1</v>
          </cell>
          <cell r="B548" t="str">
            <v>VAR_fout</v>
          </cell>
          <cell r="C548" t="str">
            <v>CO2_T</v>
          </cell>
          <cell r="H548">
            <v>0.19338647005162049</v>
          </cell>
          <cell r="I548">
            <v>2.4902649278270919E-2</v>
          </cell>
        </row>
        <row r="549">
          <cell r="A549" t="str">
            <v>T_C-HY-GSL-S1</v>
          </cell>
          <cell r="B549" t="str">
            <v>VAR_fout</v>
          </cell>
          <cell r="C549" t="str">
            <v>TPCAR</v>
          </cell>
          <cell r="H549">
            <v>3.2747014784482121E-3</v>
          </cell>
          <cell r="I549">
            <v>3.0770974966137186E-4</v>
          </cell>
        </row>
        <row r="550">
          <cell r="A550" t="str">
            <v>T_C-HY-GSL-S1</v>
          </cell>
          <cell r="B550" t="str">
            <v>VAR_fin</v>
          </cell>
          <cell r="C550" t="str">
            <v>TGSL</v>
          </cell>
          <cell r="H550">
            <v>2.6204128733281922E-3</v>
          </cell>
          <cell r="I550">
            <v>3.3743427206329166E-4</v>
          </cell>
        </row>
        <row r="551">
          <cell r="A551" t="str">
            <v>T_C-HY-GSL-S1</v>
          </cell>
          <cell r="B551" t="str">
            <v>VAR_ncap</v>
          </cell>
          <cell r="C551" t="str">
            <v>-</v>
          </cell>
        </row>
        <row r="552">
          <cell r="A552" t="str">
            <v>T_C-HY-GSL-S1</v>
          </cell>
          <cell r="B552" t="str">
            <v>VAR_cap</v>
          </cell>
          <cell r="C552" t="str">
            <v>-</v>
          </cell>
          <cell r="H552">
            <v>4.9017229693953176E-4</v>
          </cell>
          <cell r="I552">
            <v>4.5033087574097727E-5</v>
          </cell>
        </row>
        <row r="553">
          <cell r="A553" t="str">
            <v>T_B_u-HYBDSL-S4</v>
          </cell>
          <cell r="B553" t="str">
            <v>VAR_fout</v>
          </cell>
          <cell r="C553" t="str">
            <v>CO2_T</v>
          </cell>
        </row>
        <row r="554">
          <cell r="A554" t="str">
            <v>T_B_u-HYBDSL-S4</v>
          </cell>
          <cell r="B554" t="str">
            <v>VAR_fout</v>
          </cell>
          <cell r="C554" t="str">
            <v>TPBSu</v>
          </cell>
        </row>
        <row r="555">
          <cell r="A555" t="str">
            <v>T_B_u-HYBDSL-S4</v>
          </cell>
          <cell r="B555" t="str">
            <v>VAR_fin</v>
          </cell>
          <cell r="C555" t="str">
            <v>TDSL</v>
          </cell>
        </row>
        <row r="556">
          <cell r="A556" t="str">
            <v>T_B_u-HYBDSL-S4</v>
          </cell>
          <cell r="B556" t="str">
            <v>VAR_ncap</v>
          </cell>
          <cell r="C556" t="str">
            <v>-</v>
          </cell>
        </row>
        <row r="557">
          <cell r="A557" t="str">
            <v>T_B_u-HYBDSL-S4</v>
          </cell>
          <cell r="B557" t="str">
            <v>VAR_cap</v>
          </cell>
          <cell r="C557" t="str">
            <v>-</v>
          </cell>
        </row>
        <row r="558">
          <cell r="A558" t="str">
            <v>TFRLFDSLEXT</v>
          </cell>
          <cell r="B558" t="str">
            <v>VAR_fout</v>
          </cell>
          <cell r="C558" t="str">
            <v>CO2_T</v>
          </cell>
          <cell r="H558">
            <v>2.9361021359316501E-2</v>
          </cell>
          <cell r="I558">
            <v>3.0042891524830199E-2</v>
          </cell>
        </row>
        <row r="559">
          <cell r="A559" t="str">
            <v>TFRLFDSLEXT</v>
          </cell>
          <cell r="B559" t="str">
            <v>VAR_fout</v>
          </cell>
          <cell r="C559" t="str">
            <v>TFRLF</v>
          </cell>
          <cell r="H559">
            <v>1.623497803012239E-6</v>
          </cell>
          <cell r="I559">
            <v>1.6612013522894808E-6</v>
          </cell>
        </row>
        <row r="560">
          <cell r="A560" t="str">
            <v>TFRLFDSLEXT</v>
          </cell>
          <cell r="B560" t="str">
            <v>VAR_fin</v>
          </cell>
          <cell r="C560" t="str">
            <v>TDSL</v>
          </cell>
          <cell r="H560">
            <v>4.0055963655274838E-4</v>
          </cell>
          <cell r="I560">
            <v>4.0986209447244418E-4</v>
          </cell>
        </row>
        <row r="561">
          <cell r="A561" t="str">
            <v>TFRLFDSLEXT</v>
          </cell>
          <cell r="B561" t="str">
            <v>VAR_ncap</v>
          </cell>
          <cell r="C561" t="str">
            <v>-</v>
          </cell>
        </row>
        <row r="562">
          <cell r="A562" t="str">
            <v>TFRLFDSLEXT</v>
          </cell>
          <cell r="B562" t="str">
            <v>VAR_cap</v>
          </cell>
          <cell r="C562" t="str">
            <v>-</v>
          </cell>
          <cell r="H562">
            <v>2.5029432726802179E-7</v>
          </cell>
          <cell r="I562">
            <v>2.497077669960158E-7</v>
          </cell>
          <cell r="J562">
            <v>5.3163444588898525E-8</v>
          </cell>
        </row>
        <row r="563">
          <cell r="A563" t="str">
            <v>T_C-HY-GSL-S2</v>
          </cell>
          <cell r="B563" t="str">
            <v>VAR_fout</v>
          </cell>
          <cell r="C563" t="str">
            <v>CO2_T</v>
          </cell>
          <cell r="H563">
            <v>23.557755030242955</v>
          </cell>
          <cell r="I563">
            <v>2.8680077438212672</v>
          </cell>
        </row>
        <row r="564">
          <cell r="A564" t="str">
            <v>T_C-HY-GSL-S2</v>
          </cell>
          <cell r="B564" t="str">
            <v>VAR_fout</v>
          </cell>
          <cell r="C564" t="str">
            <v>TPCAR</v>
          </cell>
          <cell r="H564">
            <v>0.60729388744635349</v>
          </cell>
          <cell r="I564">
            <v>7.1930897358959453E-2</v>
          </cell>
        </row>
        <row r="565">
          <cell r="A565" t="str">
            <v>T_C-HY-GSL-S2</v>
          </cell>
          <cell r="B565" t="str">
            <v>VAR_fin</v>
          </cell>
          <cell r="C565" t="str">
            <v>TGSL</v>
          </cell>
          <cell r="H565">
            <v>0.31921077276751997</v>
          </cell>
          <cell r="I565">
            <v>3.8861893547713598E-2</v>
          </cell>
        </row>
        <row r="566">
          <cell r="A566" t="str">
            <v>T_C-HY-GSL-S2</v>
          </cell>
          <cell r="B566" t="str">
            <v>VAR_ncap</v>
          </cell>
          <cell r="C566" t="str">
            <v>-</v>
          </cell>
        </row>
        <row r="567">
          <cell r="A567" t="str">
            <v>T_C-HY-GSL-S2</v>
          </cell>
          <cell r="B567" t="str">
            <v>VAR_cap</v>
          </cell>
          <cell r="C567" t="str">
            <v>-</v>
          </cell>
          <cell r="H567">
            <v>5.9105248030702238E-2</v>
          </cell>
          <cell r="I567">
            <v>7.4484556683788736E-3</v>
          </cell>
        </row>
        <row r="568">
          <cell r="A568" t="str">
            <v>TPSHPNGAEXT</v>
          </cell>
          <cell r="B568" t="str">
            <v>VAR_ncap</v>
          </cell>
          <cell r="C568" t="str">
            <v>-</v>
          </cell>
          <cell r="H568">
            <v>7.02239583655674E-6</v>
          </cell>
          <cell r="I568">
            <v>2.8144918023414501E-4</v>
          </cell>
          <cell r="J568">
            <v>1.3187695807082999E-6</v>
          </cell>
        </row>
        <row r="569">
          <cell r="A569" t="str">
            <v>TPSHPNGAEXT</v>
          </cell>
          <cell r="B569" t="str">
            <v>VAR_cap</v>
          </cell>
          <cell r="C569" t="str">
            <v>-</v>
          </cell>
          <cell r="H569">
            <v>8.6865814002160208E-6</v>
          </cell>
          <cell r="I569">
            <v>2.887663007848079E-4</v>
          </cell>
          <cell r="J569">
            <v>2.3788912908652979E-5</v>
          </cell>
        </row>
        <row r="570">
          <cell r="A570" t="str">
            <v>T_C-HY-DSL-S1</v>
          </cell>
          <cell r="B570" t="str">
            <v>VAR_fout</v>
          </cell>
          <cell r="C570" t="str">
            <v>CO2_T</v>
          </cell>
          <cell r="H570">
            <v>2.4553864267055143</v>
          </cell>
          <cell r="I570">
            <v>1.347383342249097E-2</v>
          </cell>
        </row>
        <row r="571">
          <cell r="A571" t="str">
            <v>T_C-HY-DSL-S1</v>
          </cell>
          <cell r="B571" t="str">
            <v>VAR_fout</v>
          </cell>
          <cell r="C571" t="str">
            <v>TPCAR</v>
          </cell>
          <cell r="H571">
            <v>5.6553770607436125E-2</v>
          </cell>
          <cell r="I571">
            <v>1.8100638666277967E-4</v>
          </cell>
        </row>
        <row r="572">
          <cell r="A572" t="str">
            <v>T_C-HY-DSL-S1</v>
          </cell>
          <cell r="B572" t="str">
            <v>VAR_fin</v>
          </cell>
          <cell r="C572" t="str">
            <v>TDSL</v>
          </cell>
          <cell r="H572">
            <v>3.3497768440730082E-2</v>
          </cell>
          <cell r="I572">
            <v>1.8381764560014931E-4</v>
          </cell>
        </row>
        <row r="573">
          <cell r="A573" t="str">
            <v>T_C-HY-DSL-S1</v>
          </cell>
          <cell r="B573" t="str">
            <v>VAR_ncap</v>
          </cell>
          <cell r="C573" t="str">
            <v>-</v>
          </cell>
        </row>
        <row r="574">
          <cell r="A574" t="str">
            <v>T_C-HY-DSL-S1</v>
          </cell>
          <cell r="B574" t="str">
            <v>VAR_cap</v>
          </cell>
          <cell r="C574" t="str">
            <v>-</v>
          </cell>
          <cell r="H574">
            <v>8.589448646381408E-3</v>
          </cell>
          <cell r="I574">
            <v>2.5880055592547421E-5</v>
          </cell>
        </row>
        <row r="575">
          <cell r="A575" t="str">
            <v>T_C-HY-GSL-S3</v>
          </cell>
          <cell r="B575" t="str">
            <v>VAR_fout</v>
          </cell>
          <cell r="C575" t="str">
            <v>CO2_T</v>
          </cell>
          <cell r="H575">
            <v>22.107172709925582</v>
          </cell>
          <cell r="I575">
            <v>9.0760679986474201E-3</v>
          </cell>
        </row>
        <row r="576">
          <cell r="A576" t="str">
            <v>T_C-HY-GSL-S3</v>
          </cell>
          <cell r="B576" t="str">
            <v>VAR_fout</v>
          </cell>
          <cell r="C576" t="str">
            <v>TPCAR</v>
          </cell>
          <cell r="H576">
            <v>0.76312599463047426</v>
          </cell>
          <cell r="I576">
            <v>1.0697059574152233E-4</v>
          </cell>
        </row>
        <row r="577">
          <cell r="A577" t="str">
            <v>T_C-HY-GSL-S3</v>
          </cell>
          <cell r="B577" t="str">
            <v>VAR_fin</v>
          </cell>
          <cell r="C577" t="str">
            <v>TGSL</v>
          </cell>
          <cell r="H577">
            <v>0.29955518577134949</v>
          </cell>
          <cell r="I577">
            <v>1.2298195120118461E-4</v>
          </cell>
        </row>
        <row r="578">
          <cell r="A578" t="str">
            <v>T_C-HY-GSL-S3</v>
          </cell>
          <cell r="B578" t="str">
            <v>VAR_ncap</v>
          </cell>
          <cell r="C578" t="str">
            <v>-</v>
          </cell>
        </row>
        <row r="579">
          <cell r="A579" t="str">
            <v>T_C-HY-GSL-S3</v>
          </cell>
          <cell r="B579" t="str">
            <v>VAR_cap</v>
          </cell>
          <cell r="C579" t="str">
            <v>-</v>
          </cell>
          <cell r="H579">
            <v>5.2481935233929675E-2</v>
          </cell>
          <cell r="I579">
            <v>8.2964709669716307E-6</v>
          </cell>
        </row>
        <row r="580">
          <cell r="A580" t="str">
            <v>T_C-HY-DSL-S2</v>
          </cell>
          <cell r="B580" t="str">
            <v>VAR_fout</v>
          </cell>
          <cell r="C580" t="str">
            <v>CO2_T</v>
          </cell>
          <cell r="H580">
            <v>40.979105084136954</v>
          </cell>
          <cell r="I580">
            <v>2.7761211622231601</v>
          </cell>
        </row>
        <row r="581">
          <cell r="A581" t="str">
            <v>T_C-HY-DSL-S2</v>
          </cell>
          <cell r="B581" t="str">
            <v>VAR_fout</v>
          </cell>
          <cell r="C581" t="str">
            <v>TPCAR</v>
          </cell>
          <cell r="H581">
            <v>1.2189138158019954</v>
          </cell>
          <cell r="I581">
            <v>7.3780363349552375E-2</v>
          </cell>
        </row>
        <row r="582">
          <cell r="A582" t="str">
            <v>T_C-HY-DSL-S2</v>
          </cell>
          <cell r="B582" t="str">
            <v>VAR_fin</v>
          </cell>
          <cell r="C582" t="str">
            <v>TDSL</v>
          </cell>
          <cell r="H582">
            <v>0.55906009664579837</v>
          </cell>
          <cell r="I582">
            <v>3.7873412854340462E-2</v>
          </cell>
        </row>
        <row r="583">
          <cell r="A583" t="str">
            <v>T_C-HY-DSL-S2</v>
          </cell>
          <cell r="B583" t="str">
            <v>VAR_ncap</v>
          </cell>
          <cell r="C583" t="str">
            <v>-</v>
          </cell>
        </row>
        <row r="584">
          <cell r="A584" t="str">
            <v>T_C-HY-DSL-S2</v>
          </cell>
          <cell r="B584" t="str">
            <v>VAR_cap</v>
          </cell>
          <cell r="C584" t="str">
            <v>-</v>
          </cell>
          <cell r="H584">
            <v>9.2546189655441868E-2</v>
          </cell>
          <cell r="I584">
            <v>7.7179947320791809E-3</v>
          </cell>
        </row>
        <row r="585">
          <cell r="A585" t="str">
            <v>D-T-ELC-Bus_c_S1</v>
          </cell>
          <cell r="B585" t="str">
            <v>VAR_fout</v>
          </cell>
          <cell r="C585" t="str">
            <v>T-ELC-Bus_c_BatSTGin_S1</v>
          </cell>
          <cell r="H585">
            <v>0.14047567827570842</v>
          </cell>
          <cell r="I585">
            <v>0.13957191237189487</v>
          </cell>
          <cell r="J585">
            <v>0.11895911438445031</v>
          </cell>
        </row>
        <row r="586">
          <cell r="A586" t="str">
            <v>D-T-ELC-Bus_c_S1</v>
          </cell>
          <cell r="B586" t="str">
            <v>VAR_fin</v>
          </cell>
          <cell r="C586" t="str">
            <v>TELC</v>
          </cell>
          <cell r="H586">
            <v>0.14047567827570842</v>
          </cell>
          <cell r="I586">
            <v>0.13957191237189487</v>
          </cell>
          <cell r="J586">
            <v>0.11895911438445031</v>
          </cell>
        </row>
        <row r="587">
          <cell r="A587" t="str">
            <v>D-T-ELC-Bus_c_S1</v>
          </cell>
          <cell r="B587" t="str">
            <v>VAR_ncap</v>
          </cell>
          <cell r="C587" t="str">
            <v>-</v>
          </cell>
          <cell r="H587">
            <v>6.2141777202517799E-6</v>
          </cell>
          <cell r="I587">
            <v>1.44639402421253E-2</v>
          </cell>
          <cell r="J587">
            <v>7.9041142913240693E-3</v>
          </cell>
        </row>
        <row r="588">
          <cell r="A588" t="str">
            <v>D-T-ELC-Bus_c_S1</v>
          </cell>
          <cell r="B588" t="str">
            <v>VAR_cap</v>
          </cell>
          <cell r="C588" t="str">
            <v>-</v>
          </cell>
          <cell r="H588">
            <v>1.7571229993596602E-2</v>
          </cell>
          <cell r="I588">
            <v>1.7572743245148601E-2</v>
          </cell>
          <cell r="J588">
            <v>1.51589473542294E-2</v>
          </cell>
        </row>
        <row r="589">
          <cell r="A589" t="str">
            <v>T_C-HY-GSL-S4</v>
          </cell>
          <cell r="B589" t="str">
            <v>VAR_fout</v>
          </cell>
          <cell r="C589" t="str">
            <v>CO2_T</v>
          </cell>
          <cell r="H589">
            <v>1.1706598409452367</v>
          </cell>
          <cell r="I589">
            <v>1.0063383143298089E-2</v>
          </cell>
        </row>
        <row r="590">
          <cell r="A590" t="str">
            <v>T_C-HY-GSL-S4</v>
          </cell>
          <cell r="B590" t="str">
            <v>VAR_fout</v>
          </cell>
          <cell r="C590" t="str">
            <v>TPCAR</v>
          </cell>
          <cell r="H590">
            <v>2.5290960323171467E-2</v>
          </cell>
          <cell r="I590">
            <v>1.0274899464047143E-4</v>
          </cell>
        </row>
        <row r="591">
          <cell r="A591" t="str">
            <v>T_C-HY-GSL-S4</v>
          </cell>
          <cell r="B591" t="str">
            <v>VAR_fin</v>
          </cell>
          <cell r="C591" t="str">
            <v>TGSL</v>
          </cell>
          <cell r="H591">
            <v>1.58625994708027E-2</v>
          </cell>
          <cell r="I591">
            <v>1.363602051937408E-4</v>
          </cell>
        </row>
        <row r="592">
          <cell r="A592" t="str">
            <v>T_C-HY-GSL-S4</v>
          </cell>
          <cell r="B592" t="str">
            <v>VAR_ncap</v>
          </cell>
          <cell r="C592" t="str">
            <v>-</v>
          </cell>
        </row>
        <row r="593">
          <cell r="A593" t="str">
            <v>T_C-HY-GSL-S4</v>
          </cell>
          <cell r="B593" t="str">
            <v>VAR_cap</v>
          </cell>
          <cell r="C593" t="str">
            <v>-</v>
          </cell>
          <cell r="H593">
            <v>2.0119077804833779E-3</v>
          </cell>
          <cell r="I593">
            <v>9.3279266251144185E-6</v>
          </cell>
        </row>
        <row r="594">
          <cell r="A594" t="str">
            <v>T_C-HY-DSL-S3</v>
          </cell>
          <cell r="B594" t="str">
            <v>VAR_fout</v>
          </cell>
          <cell r="C594" t="str">
            <v>CO2_T</v>
          </cell>
          <cell r="H594">
            <v>0.46802491795021178</v>
          </cell>
          <cell r="I594">
            <v>7.5980952433546403E-3</v>
          </cell>
        </row>
        <row r="595">
          <cell r="A595" t="str">
            <v>T_C-HY-DSL-S3</v>
          </cell>
          <cell r="B595" t="str">
            <v>VAR_fout</v>
          </cell>
          <cell r="C595" t="str">
            <v>TPCAR</v>
          </cell>
          <cell r="H595">
            <v>9.3211556956768905E-3</v>
          </cell>
          <cell r="I595">
            <v>8.2523372333060213E-5</v>
          </cell>
        </row>
        <row r="596">
          <cell r="A596" t="str">
            <v>T_C-HY-DSL-S3</v>
          </cell>
          <cell r="B596" t="str">
            <v>VAR_fin</v>
          </cell>
          <cell r="C596" t="str">
            <v>TDSL</v>
          </cell>
          <cell r="H596">
            <v>6.3850602721720624E-3</v>
          </cell>
          <cell r="I596">
            <v>1.0365750673062262E-4</v>
          </cell>
        </row>
        <row r="597">
          <cell r="A597" t="str">
            <v>T_C-HY-DSL-S3</v>
          </cell>
          <cell r="B597" t="str">
            <v>VAR_ncap</v>
          </cell>
          <cell r="C597" t="str">
            <v>-</v>
          </cell>
        </row>
        <row r="598">
          <cell r="A598" t="str">
            <v>T_C-HY-DSL-S3</v>
          </cell>
          <cell r="B598" t="str">
            <v>VAR_cap</v>
          </cell>
          <cell r="C598" t="str">
            <v>-</v>
          </cell>
          <cell r="H598">
            <v>6.4893570485995123E-4</v>
          </cell>
          <cell r="I598">
            <v>6.4434203129491538E-6</v>
          </cell>
        </row>
        <row r="599">
          <cell r="A599" t="str">
            <v>D-T-ELC-Bus_c_S2</v>
          </cell>
          <cell r="B599" t="str">
            <v>VAR_fout</v>
          </cell>
          <cell r="C599" t="str">
            <v>T-ELC-Bus_c_BatSTGin_S2</v>
          </cell>
          <cell r="H599">
            <v>0.17420240621602653</v>
          </cell>
          <cell r="I599">
            <v>0.16810823096368807</v>
          </cell>
          <cell r="J599">
            <v>0.14776207550985423</v>
          </cell>
        </row>
        <row r="600">
          <cell r="A600" t="str">
            <v>D-T-ELC-Bus_c_S2</v>
          </cell>
          <cell r="B600" t="str">
            <v>VAR_fin</v>
          </cell>
          <cell r="C600" t="str">
            <v>TELC</v>
          </cell>
          <cell r="H600">
            <v>0.17420240621602653</v>
          </cell>
          <cell r="I600">
            <v>0.16810823096368807</v>
          </cell>
          <cell r="J600">
            <v>0.14776207550985423</v>
          </cell>
        </row>
        <row r="601">
          <cell r="A601" t="str">
            <v>D-T-ELC-Bus_c_S2</v>
          </cell>
          <cell r="B601" t="str">
            <v>VAR_ncap</v>
          </cell>
          <cell r="C601" t="str">
            <v>-</v>
          </cell>
          <cell r="H601">
            <v>6.57230053875639E-6</v>
          </cell>
          <cell r="I601">
            <v>1.7309505999746001E-2</v>
          </cell>
          <cell r="J601">
            <v>1.01513343256559E-2</v>
          </cell>
        </row>
        <row r="602">
          <cell r="A602" t="str">
            <v>D-T-ELC-Bus_c_S2</v>
          </cell>
          <cell r="B602" t="str">
            <v>VAR_cap</v>
          </cell>
          <cell r="C602" t="str">
            <v>-</v>
          </cell>
          <cell r="H602">
            <v>2.1860408712278501E-2</v>
          </cell>
          <cell r="I602">
            <v>2.1178825822474399E-2</v>
          </cell>
          <cell r="J602">
            <v>1.8833296515469299E-2</v>
          </cell>
        </row>
        <row r="603">
          <cell r="A603" t="str">
            <v>T_C-HY-DSL-S4</v>
          </cell>
          <cell r="B603" t="str">
            <v>VAR_fout</v>
          </cell>
          <cell r="C603" t="str">
            <v>CO2_T</v>
          </cell>
          <cell r="H603">
            <v>0.91810693391345832</v>
          </cell>
          <cell r="I603">
            <v>8.1614169037989813E-3</v>
          </cell>
        </row>
        <row r="604">
          <cell r="A604" t="str">
            <v>T_C-HY-DSL-S4</v>
          </cell>
          <cell r="B604" t="str">
            <v>VAR_fout</v>
          </cell>
          <cell r="C604" t="str">
            <v>TPCAR</v>
          </cell>
          <cell r="H604">
            <v>1.9751016341783386E-2</v>
          </cell>
          <cell r="I604">
            <v>8.6694231628383392E-5</v>
          </cell>
        </row>
        <row r="605">
          <cell r="A605" t="str">
            <v>T_C-HY-DSL-S4</v>
          </cell>
          <cell r="B605" t="str">
            <v>VAR_fin</v>
          </cell>
          <cell r="C605" t="str">
            <v>TDSL</v>
          </cell>
          <cell r="H605">
            <v>1.2525333341247748E-2</v>
          </cell>
          <cell r="I605">
            <v>1.1134265898770776E-4</v>
          </cell>
        </row>
        <row r="606">
          <cell r="A606" t="str">
            <v>T_C-HY-DSL-S4</v>
          </cell>
          <cell r="B606" t="str">
            <v>VAR_ncap</v>
          </cell>
          <cell r="C606" t="str">
            <v>-</v>
          </cell>
        </row>
        <row r="607">
          <cell r="A607" t="str">
            <v>T_C-HY-DSL-S4</v>
          </cell>
          <cell r="B607" t="str">
            <v>VAR_cap</v>
          </cell>
          <cell r="C607" t="str">
            <v>-</v>
          </cell>
          <cell r="H607">
            <v>1.5753802924790873E-3</v>
          </cell>
          <cell r="I607">
            <v>7.8858119910706323E-6</v>
          </cell>
        </row>
        <row r="608">
          <cell r="A608" t="str">
            <v>D-T-ELC-Bus_c_S3</v>
          </cell>
          <cell r="B608" t="str">
            <v>VAR_fout</v>
          </cell>
          <cell r="C608" t="str">
            <v>T-ELC-Bus_c_BatSTGin_S3</v>
          </cell>
          <cell r="H608">
            <v>5.7513939800370978E-2</v>
          </cell>
          <cell r="I608">
            <v>5.3472889602127704E-2</v>
          </cell>
          <cell r="J608">
            <v>4.6949699603574625E-2</v>
          </cell>
        </row>
        <row r="609">
          <cell r="A609" t="str">
            <v>D-T-ELC-Bus_c_S3</v>
          </cell>
          <cell r="B609" t="str">
            <v>VAR_fin</v>
          </cell>
          <cell r="C609" t="str">
            <v>TELC</v>
          </cell>
          <cell r="H609">
            <v>5.7513939800370978E-2</v>
          </cell>
          <cell r="I609">
            <v>5.3472889602127704E-2</v>
          </cell>
          <cell r="J609">
            <v>4.6949699603574625E-2</v>
          </cell>
        </row>
        <row r="610">
          <cell r="A610" t="str">
            <v>D-T-ELC-Bus_c_S3</v>
          </cell>
          <cell r="B610" t="str">
            <v>VAR_ncap</v>
          </cell>
          <cell r="C610" t="str">
            <v>-</v>
          </cell>
          <cell r="H610">
            <v>1.75237500056469E-3</v>
          </cell>
          <cell r="I610">
            <v>4.9246118195864297E-3</v>
          </cell>
          <cell r="J610">
            <v>4.2982054523885097E-3</v>
          </cell>
        </row>
        <row r="611">
          <cell r="A611" t="str">
            <v>D-T-ELC-Bus_c_S3</v>
          </cell>
          <cell r="B611" t="str">
            <v>VAR_cap</v>
          </cell>
          <cell r="C611" t="str">
            <v>-</v>
          </cell>
          <cell r="H611">
            <v>7.1147415055028704E-3</v>
          </cell>
          <cell r="I611">
            <v>6.67698682015112E-3</v>
          </cell>
          <cell r="J611">
            <v>5.9849896325651804E-3</v>
          </cell>
        </row>
        <row r="612">
          <cell r="A612" t="str">
            <v>D-T-ELC-Bus_c_S4</v>
          </cell>
          <cell r="B612" t="str">
            <v>VAR_fout</v>
          </cell>
          <cell r="C612" t="str">
            <v>T-ELC-Bus_c_BatSTGin_S4</v>
          </cell>
          <cell r="H612">
            <v>6.8424784481322629E-5</v>
          </cell>
          <cell r="I612">
            <v>3.4630974589213137E-4</v>
          </cell>
          <cell r="J612">
            <v>1.9838283684625805E-4</v>
          </cell>
        </row>
        <row r="613">
          <cell r="A613" t="str">
            <v>D-T-ELC-Bus_c_S4</v>
          </cell>
          <cell r="B613" t="str">
            <v>VAR_fin</v>
          </cell>
          <cell r="C613" t="str">
            <v>TELC</v>
          </cell>
          <cell r="H613">
            <v>6.8424784481322629E-5</v>
          </cell>
          <cell r="I613">
            <v>3.4630974589213137E-4</v>
          </cell>
          <cell r="J613">
            <v>1.9838283684625805E-4</v>
          </cell>
        </row>
        <row r="614">
          <cell r="A614" t="str">
            <v>D-T-ELC-Bus_c_S4</v>
          </cell>
          <cell r="B614" t="str">
            <v>VAR_ncap</v>
          </cell>
          <cell r="C614" t="str">
            <v>-</v>
          </cell>
          <cell r="H614">
            <v>7.5075510667398198E-6</v>
          </cell>
          <cell r="I614">
            <v>6.5264691312585997E-5</v>
          </cell>
          <cell r="J614">
            <v>3.0725527579254197E-5</v>
          </cell>
        </row>
        <row r="615">
          <cell r="A615" t="str">
            <v>D-T-ELC-Bus_c_S4</v>
          </cell>
          <cell r="B615" t="str">
            <v>VAR_cap</v>
          </cell>
          <cell r="C615" t="str">
            <v>-</v>
          </cell>
          <cell r="H615">
            <v>7.85414959679415E-6</v>
          </cell>
          <cell r="I615">
            <v>7.03922459102108E-5</v>
          </cell>
          <cell r="J615">
            <v>4.2178739257770899E-5</v>
          </cell>
        </row>
        <row r="616">
          <cell r="A616" t="str">
            <v>D-TH2O</v>
          </cell>
          <cell r="B616" t="str">
            <v>VAR_fout</v>
          </cell>
          <cell r="C616" t="str">
            <v>TH2O</v>
          </cell>
          <cell r="H616">
            <v>3.6074238736748596E-4</v>
          </cell>
          <cell r="I616">
            <v>7.0797888140371006E-4</v>
          </cell>
          <cell r="J616">
            <v>7.7190770810178083E-4</v>
          </cell>
        </row>
        <row r="617">
          <cell r="A617" t="str">
            <v>D-TH2O</v>
          </cell>
          <cell r="B617" t="str">
            <v>VAR_fin</v>
          </cell>
          <cell r="C617" t="str">
            <v>H2</v>
          </cell>
          <cell r="H617">
            <v>3.6074238736748596E-4</v>
          </cell>
          <cell r="I617">
            <v>7.0797888140371006E-4</v>
          </cell>
          <cell r="J617">
            <v>7.7201798457198867E-4</v>
          </cell>
        </row>
        <row r="618">
          <cell r="A618" t="str">
            <v>D-TH2O</v>
          </cell>
          <cell r="B618" t="str">
            <v>VAR_ncap</v>
          </cell>
          <cell r="C618" t="str">
            <v>-</v>
          </cell>
          <cell r="H618">
            <v>3.1764982233518097E-7</v>
          </cell>
          <cell r="I618">
            <v>8.7453036328128793E-6</v>
          </cell>
          <cell r="J618">
            <v>7.3723770931712903E-7</v>
          </cell>
        </row>
        <row r="619">
          <cell r="A619" t="str">
            <v>D-TH2O</v>
          </cell>
          <cell r="B619" t="str">
            <v>VAR_cap</v>
          </cell>
          <cell r="C619" t="str">
            <v>-</v>
          </cell>
          <cell r="H619">
            <v>6.1919128924295104E-4</v>
          </cell>
          <cell r="I619">
            <v>6.2793659287576405E-4</v>
          </cell>
          <cell r="J619">
            <v>6.2867383058508102E-4</v>
          </cell>
        </row>
        <row r="620">
          <cell r="A620" t="str">
            <v>TFHGV-HYBDSL</v>
          </cell>
          <cell r="B620" t="str">
            <v>VAR_fout</v>
          </cell>
          <cell r="C620" t="str">
            <v>CO2_T</v>
          </cell>
          <cell r="H620">
            <v>882.03229474842499</v>
          </cell>
          <cell r="I620">
            <v>762.02691669907404</v>
          </cell>
          <cell r="J620">
            <v>34.258499970020999</v>
          </cell>
        </row>
        <row r="621">
          <cell r="A621" t="str">
            <v>TFHGV-HYBDSL</v>
          </cell>
          <cell r="B621" t="str">
            <v>VAR_fout</v>
          </cell>
          <cell r="C621" t="str">
            <v>TFHGV</v>
          </cell>
          <cell r="H621">
            <v>1.9670265030041589</v>
          </cell>
          <cell r="I621">
            <v>1.6994016546493338</v>
          </cell>
          <cell r="J621">
            <v>7.6400124797492669E-2</v>
          </cell>
        </row>
        <row r="622">
          <cell r="A622" t="str">
            <v>TFHGV-HYBDSL</v>
          </cell>
          <cell r="B622" t="str">
            <v>VAR_fin</v>
          </cell>
          <cell r="C622" t="str">
            <v>TDSL</v>
          </cell>
          <cell r="H622">
            <v>12.033182738723402</v>
          </cell>
          <cell r="I622">
            <v>10.396001592074683</v>
          </cell>
          <cell r="J622">
            <v>0.46737380586658933</v>
          </cell>
        </row>
        <row r="623">
          <cell r="A623" t="str">
            <v>TFHGV-HYBDSL</v>
          </cell>
          <cell r="B623" t="str">
            <v>VAR_ncap</v>
          </cell>
          <cell r="C623" t="str">
            <v>-</v>
          </cell>
          <cell r="H623">
            <v>3.1994226356816501E-2</v>
          </cell>
          <cell r="I623">
            <v>1.1699413318601E-2</v>
          </cell>
        </row>
        <row r="624">
          <cell r="A624" t="str">
            <v>TFHGV-HYBDSL</v>
          </cell>
          <cell r="B624" t="str">
            <v>VAR_cap</v>
          </cell>
          <cell r="C624" t="str">
            <v>-</v>
          </cell>
          <cell r="H624">
            <v>3.88637636923886E-2</v>
          </cell>
          <cell r="I624">
            <v>3.3551031908334403E-2</v>
          </cell>
          <cell r="J624">
            <v>2.0531140890657001E-3</v>
          </cell>
        </row>
        <row r="625">
          <cell r="A625" t="str">
            <v>D-TKER</v>
          </cell>
          <cell r="B625" t="str">
            <v>VAR_fout</v>
          </cell>
          <cell r="C625" t="str">
            <v>CO2</v>
          </cell>
          <cell r="H625">
            <v>188.403692309425</v>
          </cell>
          <cell r="I625">
            <v>156.60188233427101</v>
          </cell>
          <cell r="J625">
            <v>1.5624757824982301E-4</v>
          </cell>
        </row>
        <row r="626">
          <cell r="A626" t="str">
            <v>D-TKER</v>
          </cell>
          <cell r="B626" t="str">
            <v>VAR_fout</v>
          </cell>
          <cell r="C626" t="str">
            <v>TKER</v>
          </cell>
          <cell r="H626">
            <v>2.5499298340077399</v>
          </cell>
          <cell r="I626">
            <v>2.11951160261816</v>
          </cell>
          <cell r="J626">
            <v>2.1147163114846899E-6</v>
          </cell>
        </row>
        <row r="627">
          <cell r="A627" t="str">
            <v>D-TKER</v>
          </cell>
          <cell r="B627" t="str">
            <v>VAR_fin</v>
          </cell>
          <cell r="C627" t="str">
            <v>KER</v>
          </cell>
          <cell r="H627">
            <v>2.5879628064481404</v>
          </cell>
          <cell r="I627">
            <v>2.1511247573388954</v>
          </cell>
          <cell r="J627">
            <v>2.1462579429920715E-6</v>
          </cell>
        </row>
        <row r="628">
          <cell r="A628" t="str">
            <v>T_B_u-BEVELC-S1</v>
          </cell>
          <cell r="B628" t="str">
            <v>VAR_fout</v>
          </cell>
          <cell r="C628" t="str">
            <v>TPBSu</v>
          </cell>
          <cell r="H628">
            <v>0.11451546391229674</v>
          </cell>
          <cell r="I628">
            <v>0.11952861267147759</v>
          </cell>
          <cell r="J628">
            <v>0.12786601172127657</v>
          </cell>
        </row>
        <row r="629">
          <cell r="A629" t="str">
            <v>T_B_u-BEVELC-S1</v>
          </cell>
          <cell r="B629" t="str">
            <v>VAR_fin</v>
          </cell>
          <cell r="C629" t="str">
            <v>T-ELC-Bus_u_BatSTGout_S1</v>
          </cell>
          <cell r="H629">
            <v>0.24312082834183865</v>
          </cell>
          <cell r="I629">
            <v>0.25248728089408173</v>
          </cell>
          <cell r="J629">
            <v>0.24137360473893771</v>
          </cell>
        </row>
        <row r="630">
          <cell r="A630" t="str">
            <v>T_B_u-BEVELC-S1</v>
          </cell>
          <cell r="B630" t="str">
            <v>VAR_ncap</v>
          </cell>
          <cell r="C630" t="str">
            <v>-</v>
          </cell>
          <cell r="H630">
            <v>2.6443040021118698E-3</v>
          </cell>
          <cell r="I630">
            <v>2.3206935471183101E-4</v>
          </cell>
          <cell r="J630">
            <v>2.4599989871863701E-3</v>
          </cell>
        </row>
        <row r="631">
          <cell r="A631" t="str">
            <v>T_B_u-BEVELC-S1</v>
          </cell>
          <cell r="B631" t="str">
            <v>VAR_cap</v>
          </cell>
          <cell r="C631" t="str">
            <v>-</v>
          </cell>
          <cell r="H631">
            <v>2.6506660795246402E-3</v>
          </cell>
          <cell r="I631">
            <v>2.8771211549589318E-3</v>
          </cell>
          <cell r="J631">
            <v>3.0403927853357017E-3</v>
          </cell>
        </row>
        <row r="632">
          <cell r="A632" t="str">
            <v>TPSHPH2OEXT</v>
          </cell>
          <cell r="B632" t="str">
            <v>VAR_fout</v>
          </cell>
          <cell r="C632" t="str">
            <v>TPSHP</v>
          </cell>
          <cell r="H632">
            <v>2.3059303083622301E-5</v>
          </cell>
          <cell r="I632">
            <v>2.6567641451245302E-5</v>
          </cell>
          <cell r="J632">
            <v>9.9274232684488104E-5</v>
          </cell>
        </row>
        <row r="633">
          <cell r="A633" t="str">
            <v>TPSHPH2OEXT</v>
          </cell>
          <cell r="B633" t="str">
            <v>VAR_fin</v>
          </cell>
          <cell r="C633" t="str">
            <v>TH2O</v>
          </cell>
          <cell r="H633">
            <v>1.2857308386019709E-5</v>
          </cell>
          <cell r="I633">
            <v>1.4813472809179175E-5</v>
          </cell>
          <cell r="J633">
            <v>5.5352905496805251E-5</v>
          </cell>
        </row>
        <row r="634">
          <cell r="A634" t="str">
            <v>TPSHPH2OEXT</v>
          </cell>
          <cell r="B634" t="str">
            <v>VAR_ncap</v>
          </cell>
          <cell r="C634" t="str">
            <v>-</v>
          </cell>
          <cell r="H634">
            <v>2.35432119630942E-5</v>
          </cell>
          <cell r="I634">
            <v>2.6545498157814799E-6</v>
          </cell>
          <cell r="J634">
            <v>7.2808581687029895E-5</v>
          </cell>
        </row>
        <row r="635">
          <cell r="A635" t="str">
            <v>TPSHPH2OEXT</v>
          </cell>
          <cell r="B635" t="str">
            <v>VAR_cap</v>
          </cell>
          <cell r="C635" t="str">
            <v>-</v>
          </cell>
          <cell r="H635">
            <v>2.35432119630942E-5</v>
          </cell>
          <cell r="I635">
            <v>2.5600957475124368E-5</v>
          </cell>
          <cell r="J635">
            <v>9.2306223692529378E-5</v>
          </cell>
        </row>
        <row r="636">
          <cell r="A636" t="str">
            <v>T_B_u-BEVELC-S2</v>
          </cell>
          <cell r="B636" t="str">
            <v>VAR_fout</v>
          </cell>
          <cell r="C636" t="str">
            <v>TPBSu</v>
          </cell>
          <cell r="H636">
            <v>4.1378062659660007E-2</v>
          </cell>
          <cell r="I636">
            <v>4.3140480071896858E-2</v>
          </cell>
          <cell r="J636">
            <v>4.6147711352847016E-2</v>
          </cell>
        </row>
        <row r="637">
          <cell r="A637" t="str">
            <v>T_B_u-BEVELC-S2</v>
          </cell>
          <cell r="B637" t="str">
            <v>VAR_fin</v>
          </cell>
          <cell r="C637" t="str">
            <v>T-ELC-Bus_u_BatSTGout_S2</v>
          </cell>
          <cell r="H637">
            <v>0.12189063232401885</v>
          </cell>
          <cell r="I637">
            <v>0.1255673202361694</v>
          </cell>
          <cell r="J637">
            <v>0.12079834147765436</v>
          </cell>
        </row>
        <row r="638">
          <cell r="A638" t="str">
            <v>T_B_u-BEVELC-S2</v>
          </cell>
          <cell r="B638" t="str">
            <v>VAR_ncap</v>
          </cell>
          <cell r="C638" t="str">
            <v>-</v>
          </cell>
          <cell r="H638">
            <v>7.0133255895167199E-4</v>
          </cell>
          <cell r="I638">
            <v>1.11168663977595E-4</v>
          </cell>
          <cell r="J638">
            <v>6.9168982643146395E-4</v>
          </cell>
        </row>
        <row r="639">
          <cell r="A639" t="str">
            <v>T_B_u-BEVELC-S2</v>
          </cell>
          <cell r="B639" t="str">
            <v>VAR_cap</v>
          </cell>
          <cell r="C639" t="str">
            <v>-</v>
          </cell>
          <cell r="H639">
            <v>7.9158499414074901E-4</v>
          </cell>
          <cell r="I639">
            <v>8.1393663716680599E-4</v>
          </cell>
          <cell r="J639">
            <v>8.7051465240641055E-4</v>
          </cell>
        </row>
        <row r="640">
          <cell r="A640" t="str">
            <v>TFHGV-ICEDSL</v>
          </cell>
          <cell r="B640" t="str">
            <v>VAR_fout</v>
          </cell>
          <cell r="C640" t="str">
            <v>CO2_T</v>
          </cell>
          <cell r="H640">
            <v>4.4967698389236602E-2</v>
          </cell>
          <cell r="I640">
            <v>5.4553119132143897E-2</v>
          </cell>
          <cell r="J640">
            <v>5.6823399175592003E-3</v>
          </cell>
        </row>
        <row r="641">
          <cell r="A641" t="str">
            <v>TFHGV-ICEDSL</v>
          </cell>
          <cell r="B641" t="str">
            <v>VAR_fout</v>
          </cell>
          <cell r="C641" t="str">
            <v>TFHGV</v>
          </cell>
          <cell r="H641">
            <v>7.2821607892054226E-5</v>
          </cell>
          <cell r="I641">
            <v>8.83444337386943E-5</v>
          </cell>
          <cell r="J641">
            <v>9.2020971543633636E-6</v>
          </cell>
        </row>
        <row r="642">
          <cell r="A642" t="str">
            <v>TFHGV-ICEDSL</v>
          </cell>
          <cell r="B642" t="str">
            <v>VAR_fin</v>
          </cell>
          <cell r="C642" t="str">
            <v>TDSL</v>
          </cell>
          <cell r="H642">
            <v>6.1347473928017194E-4</v>
          </cell>
          <cell r="I642">
            <v>7.4424446292147223E-4</v>
          </cell>
          <cell r="J642">
            <v>7.7521690553331577E-5</v>
          </cell>
        </row>
        <row r="643">
          <cell r="A643" t="str">
            <v>TFHGV-ICEDSL</v>
          </cell>
          <cell r="B643" t="str">
            <v>VAR_ncap</v>
          </cell>
          <cell r="C643" t="str">
            <v>-</v>
          </cell>
          <cell r="H643">
            <v>1.16242234801141E-6</v>
          </cell>
          <cell r="I643">
            <v>1.22161050630543E-6</v>
          </cell>
        </row>
        <row r="644">
          <cell r="A644" t="str">
            <v>TFHGV-ICEDSL</v>
          </cell>
          <cell r="B644" t="str">
            <v>VAR_cap</v>
          </cell>
          <cell r="C644" t="str">
            <v>-</v>
          </cell>
          <cell r="H644">
            <v>1.6731399251892401E-6</v>
          </cell>
          <cell r="I644">
            <v>2.01552905603514E-6</v>
          </cell>
          <cell r="J644">
            <v>2.1437876186994E-7</v>
          </cell>
        </row>
        <row r="645">
          <cell r="A645" t="str">
            <v>D-T-ELC-Bus_u_S1</v>
          </cell>
          <cell r="B645" t="str">
            <v>VAR_fout</v>
          </cell>
          <cell r="C645" t="str">
            <v>T-ELC-Bus_u_BatSTGin_S1</v>
          </cell>
          <cell r="H645">
            <v>0.24330158426847509</v>
          </cell>
          <cell r="I645">
            <v>0.25263522165212859</v>
          </cell>
          <cell r="J645">
            <v>0.24147846151358529</v>
          </cell>
        </row>
        <row r="646">
          <cell r="A646" t="str">
            <v>D-T-ELC-Bus_u_S1</v>
          </cell>
          <cell r="B646" t="str">
            <v>VAR_fin</v>
          </cell>
          <cell r="C646" t="str">
            <v>TELC</v>
          </cell>
          <cell r="H646">
            <v>0.24330158426847509</v>
          </cell>
          <cell r="I646">
            <v>0.25263522165212859</v>
          </cell>
          <cell r="J646">
            <v>0.24147846151358529</v>
          </cell>
        </row>
        <row r="647">
          <cell r="A647" t="str">
            <v>D-T-ELC-Bus_u_S1</v>
          </cell>
          <cell r="B647" t="str">
            <v>VAR_ncap</v>
          </cell>
          <cell r="C647" t="str">
            <v>-</v>
          </cell>
          <cell r="H647">
            <v>4.9190939746632497E-3</v>
          </cell>
          <cell r="I647">
            <v>1.8121316755083199E-2</v>
          </cell>
          <cell r="J647">
            <v>1.55731931924436E-2</v>
          </cell>
        </row>
        <row r="648">
          <cell r="A648" t="str">
            <v>D-T-ELC-Bus_u_S1</v>
          </cell>
          <cell r="B648" t="str">
            <v>VAR_cap</v>
          </cell>
          <cell r="C648" t="str">
            <v>-</v>
          </cell>
          <cell r="H648">
            <v>2.5718529507118899E-2</v>
          </cell>
          <cell r="I648">
            <v>2.6704322700645201E-2</v>
          </cell>
          <cell r="J648">
            <v>2.552437450002E-2</v>
          </cell>
        </row>
        <row r="649">
          <cell r="A649" t="str">
            <v>T-Plg-DSL-mix_S1</v>
          </cell>
          <cell r="B649" t="str">
            <v>VAR_fout</v>
          </cell>
          <cell r="C649" t="str">
            <v>CO2_T</v>
          </cell>
          <cell r="H649">
            <v>9.6346330399260063E-2</v>
          </cell>
          <cell r="I649">
            <v>4.437229027869944E-2</v>
          </cell>
          <cell r="J649">
            <v>6.4548639254509103E-3</v>
          </cell>
        </row>
        <row r="650">
          <cell r="A650" t="str">
            <v>T-Plg-DSL-mix_S1</v>
          </cell>
          <cell r="B650" t="str">
            <v>VAR_fout</v>
          </cell>
          <cell r="C650" t="str">
            <v>T-PEVmix-ELC_DSL_S1</v>
          </cell>
          <cell r="H650">
            <v>9.5742449979144869E-4</v>
          </cell>
          <cell r="I650">
            <v>4.5604322527112516E-4</v>
          </cell>
          <cell r="J650">
            <v>6.9757410384509473E-5</v>
          </cell>
        </row>
        <row r="651">
          <cell r="A651" t="str">
            <v>T-Plg-DSL-mix_S1</v>
          </cell>
          <cell r="B651" t="str">
            <v>VAR_fin</v>
          </cell>
          <cell r="C651" t="str">
            <v>TDSL</v>
          </cell>
          <cell r="H651">
            <v>1.3144110559244208E-3</v>
          </cell>
          <cell r="I651">
            <v>6.0535184554842399E-4</v>
          </cell>
          <cell r="J651">
            <v>8.8060899392236217E-5</v>
          </cell>
        </row>
        <row r="652">
          <cell r="A652" t="str">
            <v>T_B_u-BEVELC-S3</v>
          </cell>
          <cell r="B652" t="str">
            <v>VAR_fout</v>
          </cell>
          <cell r="C652" t="str">
            <v>TPBSu</v>
          </cell>
          <cell r="H652">
            <v>0.1808413752686224</v>
          </cell>
          <cell r="I652">
            <v>0.18853402560048249</v>
          </cell>
          <cell r="J652">
            <v>0.20167995109276046</v>
          </cell>
        </row>
        <row r="653">
          <cell r="A653" t="str">
            <v>T_B_u-BEVELC-S3</v>
          </cell>
          <cell r="B653" t="str">
            <v>VAR_fin</v>
          </cell>
          <cell r="C653" t="str">
            <v>T-ELC-Bus_u_BatSTGout_S3</v>
          </cell>
          <cell r="H653">
            <v>0.82708033771094092</v>
          </cell>
          <cell r="I653">
            <v>0.79771934242446219</v>
          </cell>
          <cell r="J653">
            <v>0.78768553468200608</v>
          </cell>
        </row>
        <row r="654">
          <cell r="A654" t="str">
            <v>T_B_u-BEVELC-S3</v>
          </cell>
          <cell r="B654" t="str">
            <v>VAR_ncap</v>
          </cell>
          <cell r="C654" t="str">
            <v>-</v>
          </cell>
          <cell r="H654">
            <v>8.1250518109882305E-4</v>
          </cell>
          <cell r="I654">
            <v>2.7428893502975402E-3</v>
          </cell>
          <cell r="J654">
            <v>2.8637475167349199E-3</v>
          </cell>
        </row>
        <row r="655">
          <cell r="A655" t="str">
            <v>T_B_u-BEVELC-S3</v>
          </cell>
          <cell r="B655" t="str">
            <v>VAR_cap</v>
          </cell>
          <cell r="C655" t="str">
            <v>-</v>
          </cell>
          <cell r="H655">
            <v>3.4643512306822498E-3</v>
          </cell>
          <cell r="I655">
            <v>3.55539453139637E-3</v>
          </cell>
          <cell r="J655">
            <v>3.80324539668062E-3</v>
          </cell>
        </row>
        <row r="656">
          <cell r="A656" t="str">
            <v>D-T-ELC-Bus_u_S2</v>
          </cell>
          <cell r="B656" t="str">
            <v>VAR_fout</v>
          </cell>
          <cell r="C656" t="str">
            <v>T-ELC-Bus_u_BatSTGin_S2</v>
          </cell>
          <cell r="H656">
            <v>0.12204936976869225</v>
          </cell>
          <cell r="I656">
            <v>0.12569235391492828</v>
          </cell>
          <cell r="J656">
            <v>0.12088615790417057</v>
          </cell>
        </row>
        <row r="657">
          <cell r="A657" t="str">
            <v>D-T-ELC-Bus_u_S2</v>
          </cell>
          <cell r="B657" t="str">
            <v>VAR_fin</v>
          </cell>
          <cell r="C657" t="str">
            <v>TELC</v>
          </cell>
          <cell r="H657">
            <v>0.12204936976869225</v>
          </cell>
          <cell r="I657">
            <v>0.12569235391492828</v>
          </cell>
          <cell r="J657">
            <v>0.12088615790417057</v>
          </cell>
        </row>
        <row r="658">
          <cell r="A658" t="str">
            <v>D-T-ELC-Bus_u_S2</v>
          </cell>
          <cell r="B658" t="str">
            <v>VAR_ncap</v>
          </cell>
          <cell r="C658" t="str">
            <v>-</v>
          </cell>
          <cell r="H658">
            <v>3.29570818867402E-4</v>
          </cell>
          <cell r="I658">
            <v>1.0754560847607401E-2</v>
          </cell>
          <cell r="J658">
            <v>7.3266393001393598E-3</v>
          </cell>
        </row>
        <row r="659">
          <cell r="A659" t="str">
            <v>D-T-ELC-Bus_u_S2</v>
          </cell>
          <cell r="B659" t="str">
            <v>VAR_cap</v>
          </cell>
          <cell r="C659" t="str">
            <v>-</v>
          </cell>
          <cell r="H659">
            <v>1.29035322242708E-2</v>
          </cell>
          <cell r="I659">
            <v>1.32869322701722E-2</v>
          </cell>
          <cell r="J659">
            <v>1.27779443901647E-2</v>
          </cell>
        </row>
        <row r="660">
          <cell r="A660" t="str">
            <v>T-Plg-DSL-mix_S2</v>
          </cell>
          <cell r="B660" t="str">
            <v>VAR_fout</v>
          </cell>
          <cell r="C660" t="str">
            <v>CO2_T</v>
          </cell>
          <cell r="H660">
            <v>5.878349151732924</v>
          </cell>
          <cell r="I660">
            <v>3.4604314417341198</v>
          </cell>
          <cell r="J660">
            <v>2.9443226501380398E-2</v>
          </cell>
        </row>
        <row r="661">
          <cell r="A661" t="str">
            <v>T-Plg-DSL-mix_S2</v>
          </cell>
          <cell r="B661" t="str">
            <v>VAR_fout</v>
          </cell>
          <cell r="C661" t="str">
            <v>T-PEVmix-ELC_DSL_S2</v>
          </cell>
          <cell r="H661">
            <v>4.7758503952226521E-2</v>
          </cell>
          <cell r="I661">
            <v>2.9734379262402948E-2</v>
          </cell>
          <cell r="J661">
            <v>2.6242683020672949E-4</v>
          </cell>
        </row>
        <row r="662">
          <cell r="A662" t="str">
            <v>T-Plg-DSL-mix_S2</v>
          </cell>
          <cell r="B662" t="str">
            <v>VAR_fin</v>
          </cell>
          <cell r="C662" t="str">
            <v>TDSL</v>
          </cell>
          <cell r="H662">
            <v>8.019575923237271E-2</v>
          </cell>
          <cell r="I662">
            <v>4.7209160187368593E-2</v>
          </cell>
          <cell r="J662">
            <v>4.0168112553042761E-4</v>
          </cell>
        </row>
        <row r="663">
          <cell r="A663" t="str">
            <v>T_B_u-BEVELC-S4</v>
          </cell>
          <cell r="B663" t="str">
            <v>VAR_fout</v>
          </cell>
          <cell r="C663" t="str">
            <v>TPBSu</v>
          </cell>
          <cell r="H663">
            <v>1.4576595265413999E-4</v>
          </cell>
          <cell r="I663">
            <v>1.197566570471468E-5</v>
          </cell>
          <cell r="J663">
            <v>8.813295029631007E-6</v>
          </cell>
        </row>
        <row r="664">
          <cell r="A664" t="str">
            <v>T_B_u-BEVELC-S4</v>
          </cell>
          <cell r="B664" t="str">
            <v>VAR_fin</v>
          </cell>
          <cell r="C664" t="str">
            <v>T-ELC-Bus_u_BatSTGout_S4</v>
          </cell>
          <cell r="H664">
            <v>1.0016280715159016E-3</v>
          </cell>
          <cell r="I664">
            <v>7.6402446870724714E-5</v>
          </cell>
          <cell r="J664">
            <v>5.125384293322503E-5</v>
          </cell>
        </row>
        <row r="665">
          <cell r="A665" t="str">
            <v>T_B_u-BEVELC-S4</v>
          </cell>
          <cell r="B665" t="str">
            <v>VAR_ncap</v>
          </cell>
          <cell r="C665" t="str">
            <v>-</v>
          </cell>
          <cell r="H665">
            <v>5.6296917186384901E-7</v>
          </cell>
          <cell r="I665">
            <v>3.1141725408506202E-7</v>
          </cell>
          <cell r="J665">
            <v>1.3570299192244199E-7</v>
          </cell>
        </row>
        <row r="666">
          <cell r="A666" t="str">
            <v>T_B_u-BEVELC-S4</v>
          </cell>
          <cell r="B666" t="str">
            <v>VAR_cap</v>
          </cell>
          <cell r="C666" t="str">
            <v>-</v>
          </cell>
          <cell r="H666">
            <v>1.1228337794693423E-4</v>
          </cell>
          <cell r="I666">
            <v>4.2413485109223299E-7</v>
          </cell>
          <cell r="J666">
            <v>1.9035318116942301E-7</v>
          </cell>
        </row>
        <row r="667">
          <cell r="A667" t="str">
            <v>D-TBDS1</v>
          </cell>
          <cell r="B667" t="str">
            <v>VAR_fout</v>
          </cell>
          <cell r="C667" t="str">
            <v>TDSL</v>
          </cell>
          <cell r="H667">
            <v>2.9711909755119863</v>
          </cell>
          <cell r="I667">
            <v>2.972054483486283</v>
          </cell>
          <cell r="J667">
            <v>3.0231248170845353</v>
          </cell>
        </row>
        <row r="668">
          <cell r="A668" t="str">
            <v>D-TBDS1</v>
          </cell>
          <cell r="B668" t="str">
            <v>VAR_fout</v>
          </cell>
          <cell r="C668" t="str">
            <v>TKER</v>
          </cell>
          <cell r="H668">
            <v>5.6230283929068197E-4</v>
          </cell>
          <cell r="I668">
            <v>1.1235801795482501E-3</v>
          </cell>
          <cell r="J668">
            <v>1.6907743275929401</v>
          </cell>
        </row>
        <row r="669">
          <cell r="A669" t="str">
            <v>D-TBDS1</v>
          </cell>
          <cell r="B669" t="str">
            <v>VAR_fin</v>
          </cell>
          <cell r="C669" t="str">
            <v>BDS</v>
          </cell>
          <cell r="H669">
            <v>3.0160779149380259</v>
          </cell>
          <cell r="I669">
            <v>3.0175224108050172</v>
          </cell>
          <cell r="J669">
            <v>4.7842073920661266</v>
          </cell>
        </row>
        <row r="670">
          <cell r="A670" t="str">
            <v>D-T-ELC-Bus_u_S3</v>
          </cell>
          <cell r="B670" t="str">
            <v>VAR_fout</v>
          </cell>
          <cell r="C670" t="str">
            <v>T-ELC-Bus_u_BatSTGin_S3</v>
          </cell>
          <cell r="H670">
            <v>0.82722428759962974</v>
          </cell>
          <cell r="I670">
            <v>0.79785345142680697</v>
          </cell>
          <cell r="J670">
            <v>0.78780481756677512</v>
          </cell>
        </row>
        <row r="671">
          <cell r="A671" t="str">
            <v>D-T-ELC-Bus_u_S3</v>
          </cell>
          <cell r="B671" t="str">
            <v>VAR_fin</v>
          </cell>
          <cell r="C671" t="str">
            <v>TELC</v>
          </cell>
          <cell r="H671">
            <v>0.82722428759962974</v>
          </cell>
          <cell r="I671">
            <v>0.79785345142680697</v>
          </cell>
          <cell r="J671">
            <v>0.78780481756677512</v>
          </cell>
        </row>
        <row r="672">
          <cell r="A672" t="str">
            <v>D-T-ELC-Bus_u_S3</v>
          </cell>
          <cell r="B672" t="str">
            <v>VAR_ncap</v>
          </cell>
          <cell r="C672" t="str">
            <v>-</v>
          </cell>
          <cell r="H672">
            <v>2.3795069566772999E-2</v>
          </cell>
          <cell r="I672">
            <v>6.0537881164737101E-2</v>
          </cell>
          <cell r="J672">
            <v>6.2534974364886295E-2</v>
          </cell>
        </row>
        <row r="673">
          <cell r="A673" t="str">
            <v>D-T-ELC-Bus_u_S3</v>
          </cell>
          <cell r="B673" t="str">
            <v>VAR_cap</v>
          </cell>
          <cell r="C673" t="str">
            <v>-</v>
          </cell>
          <cell r="H673">
            <v>8.74373929294361E-2</v>
          </cell>
          <cell r="I673">
            <v>8.4332950731510203E-2</v>
          </cell>
          <cell r="J673">
            <v>8.3270484896692906E-2</v>
          </cell>
        </row>
        <row r="674">
          <cell r="A674" t="str">
            <v>T-Plg-DSL-mix_S3</v>
          </cell>
          <cell r="B674" t="str">
            <v>VAR_fout</v>
          </cell>
          <cell r="C674" t="str">
            <v>CO2_T</v>
          </cell>
          <cell r="H674">
            <v>605.34369440733474</v>
          </cell>
          <cell r="I674">
            <v>414.94544920883448</v>
          </cell>
          <cell r="J674">
            <v>42.208490744091613</v>
          </cell>
        </row>
        <row r="675">
          <cell r="A675" t="str">
            <v>T-Plg-DSL-mix_S3</v>
          </cell>
          <cell r="B675" t="str">
            <v>VAR_fout</v>
          </cell>
          <cell r="C675" t="str">
            <v>T-PEVmix-ELC_DSL_S3</v>
          </cell>
          <cell r="H675">
            <v>4.5717316778228563</v>
          </cell>
          <cell r="I675">
            <v>3.3190449243838525</v>
          </cell>
          <cell r="J675">
            <v>0.35645235670773917</v>
          </cell>
        </row>
        <row r="676">
          <cell r="A676" t="str">
            <v>T-Plg-DSL-mix_S3</v>
          </cell>
          <cell r="B676" t="str">
            <v>VAR_fin</v>
          </cell>
          <cell r="C676" t="str">
            <v>TDSL</v>
          </cell>
          <cell r="H676">
            <v>8.2584405785448087</v>
          </cell>
          <cell r="I676">
            <v>5.6609201802023801</v>
          </cell>
          <cell r="J676">
            <v>0.57583207017860294</v>
          </cell>
        </row>
        <row r="677">
          <cell r="A677" t="str">
            <v>D-T-ELC-Bus_u_S4</v>
          </cell>
          <cell r="B677" t="str">
            <v>VAR_fout</v>
          </cell>
          <cell r="C677" t="str">
            <v>T-ELC-Bus_u_BatSTGin_S4</v>
          </cell>
          <cell r="H677">
            <v>7.1825163086184068E-3</v>
          </cell>
          <cell r="I677">
            <v>2.476516725604799E-4</v>
          </cell>
          <cell r="J677">
            <v>1.4961804697825802E-4</v>
          </cell>
        </row>
        <row r="678">
          <cell r="A678" t="str">
            <v>D-T-ELC-Bus_u_S4</v>
          </cell>
          <cell r="B678" t="str">
            <v>VAR_fin</v>
          </cell>
          <cell r="C678" t="str">
            <v>TELC</v>
          </cell>
          <cell r="H678">
            <v>7.1825163086184068E-3</v>
          </cell>
          <cell r="I678">
            <v>2.476516725604799E-4</v>
          </cell>
          <cell r="J678">
            <v>1.4961804697825802E-4</v>
          </cell>
        </row>
        <row r="679">
          <cell r="A679" t="str">
            <v>D-T-ELC-Bus_u_S4</v>
          </cell>
          <cell r="B679" t="str">
            <v>VAR_ncap</v>
          </cell>
          <cell r="C679" t="str">
            <v>-</v>
          </cell>
          <cell r="H679">
            <v>5.19178391942992E-5</v>
          </cell>
          <cell r="I679">
            <v>5.1838230521671197E-5</v>
          </cell>
          <cell r="J679">
            <v>1.9609264488869799E-5</v>
          </cell>
        </row>
        <row r="680">
          <cell r="A680" t="str">
            <v>D-T-ELC-Bus_u_S4</v>
          </cell>
          <cell r="B680" t="str">
            <v>VAR_cap</v>
          </cell>
          <cell r="C680" t="str">
            <v>-</v>
          </cell>
          <cell r="H680">
            <v>7.7996715411182704E-4</v>
          </cell>
          <cell r="I680">
            <v>8.72974039182873E-5</v>
          </cell>
          <cell r="J680">
            <v>2.8706284872538501E-5</v>
          </cell>
        </row>
        <row r="681">
          <cell r="A681" t="str">
            <v>T_C-FC-H2O-S1</v>
          </cell>
          <cell r="B681" t="str">
            <v>VAR_fout</v>
          </cell>
          <cell r="C681" t="str">
            <v>TPCAR</v>
          </cell>
          <cell r="H681">
            <v>4.1047702846054603E-6</v>
          </cell>
          <cell r="I681">
            <v>4.4248255880807574E-6</v>
          </cell>
          <cell r="J681">
            <v>4.2436214568532792E-6</v>
          </cell>
        </row>
        <row r="682">
          <cell r="A682" t="str">
            <v>T_C-FC-H2O-S1</v>
          </cell>
          <cell r="B682" t="str">
            <v>VAR_fin</v>
          </cell>
          <cell r="C682" t="str">
            <v>TH2O</v>
          </cell>
          <cell r="H682">
            <v>3.6588444996678192E-6</v>
          </cell>
          <cell r="I682">
            <v>3.6549335769259088E-6</v>
          </cell>
          <cell r="J682">
            <v>3.1584957685435193E-6</v>
          </cell>
        </row>
        <row r="683">
          <cell r="A683" t="str">
            <v>T_C-FC-H2O-S1</v>
          </cell>
          <cell r="B683" t="str">
            <v>VAR_ncap</v>
          </cell>
          <cell r="C683" t="str">
            <v>-</v>
          </cell>
          <cell r="H683">
            <v>2.8766752804341299E-7</v>
          </cell>
          <cell r="I683">
            <v>4.6969436618789502E-7</v>
          </cell>
          <cell r="J683">
            <v>5.1621091337645799E-7</v>
          </cell>
        </row>
        <row r="684">
          <cell r="A684" t="str">
            <v>T_C-FC-H2O-S1</v>
          </cell>
          <cell r="B684" t="str">
            <v>VAR_cap</v>
          </cell>
          <cell r="C684" t="str">
            <v>-</v>
          </cell>
          <cell r="H684">
            <v>8.0302008085142013E-7</v>
          </cell>
          <cell r="I684">
            <v>8.3634764136163221E-7</v>
          </cell>
          <cell r="J684">
            <v>7.4990592956795298E-7</v>
          </cell>
        </row>
        <row r="685">
          <cell r="A685" t="str">
            <v>T_B_c-ICEDSL-S1</v>
          </cell>
          <cell r="B685" t="str">
            <v>VAR_fout</v>
          </cell>
          <cell r="C685" t="str">
            <v>CO2_T</v>
          </cell>
          <cell r="H685">
            <v>2.4170204979771901E-4</v>
          </cell>
          <cell r="I685">
            <v>6.0175790393971796E-4</v>
          </cell>
          <cell r="J685">
            <v>1.98127023591334E-4</v>
          </cell>
        </row>
        <row r="686">
          <cell r="A686" t="str">
            <v>T_B_c-ICEDSL-S1</v>
          </cell>
          <cell r="B686" t="str">
            <v>VAR_fout</v>
          </cell>
          <cell r="C686" t="str">
            <v>TPBSc</v>
          </cell>
          <cell r="H686">
            <v>5.1057229121749117E-7</v>
          </cell>
          <cell r="I686">
            <v>1.3363077180256173E-6</v>
          </cell>
          <cell r="J686">
            <v>4.3997539382725803E-7</v>
          </cell>
        </row>
        <row r="687">
          <cell r="A687" t="str">
            <v>T_B_c-ICEDSL-S1</v>
          </cell>
          <cell r="B687" t="str">
            <v>VAR_fin</v>
          </cell>
          <cell r="C687" t="str">
            <v>TDSL</v>
          </cell>
          <cell r="H687">
            <v>3.2974358771857929E-6</v>
          </cell>
          <cell r="I687">
            <v>8.2095211997233054E-6</v>
          </cell>
          <cell r="J687">
            <v>2.7029607584083732E-6</v>
          </cell>
        </row>
        <row r="688">
          <cell r="A688" t="str">
            <v>T_B_c-ICEDSL-S1</v>
          </cell>
          <cell r="B688" t="str">
            <v>VAR_ncap</v>
          </cell>
          <cell r="C688" t="str">
            <v>-</v>
          </cell>
          <cell r="H688">
            <v>2.71644429209645E-8</v>
          </cell>
          <cell r="I688">
            <v>4.61984591790543E-8</v>
          </cell>
        </row>
        <row r="689">
          <cell r="A689" t="str">
            <v>T_B_c-ICEDSL-S1</v>
          </cell>
          <cell r="B689" t="str">
            <v>VAR_cap</v>
          </cell>
          <cell r="C689" t="str">
            <v>-</v>
          </cell>
          <cell r="H689">
            <v>2.8168575394102446E-8</v>
          </cell>
          <cell r="I689">
            <v>4.4359297181390702E-8</v>
          </cell>
          <cell r="J689">
            <v>2.7935822711750101E-8</v>
          </cell>
        </row>
        <row r="690">
          <cell r="A690" t="str">
            <v>T-Plg-DSL-mix_S4</v>
          </cell>
          <cell r="B690" t="str">
            <v>VAR_fout</v>
          </cell>
          <cell r="C690" t="str">
            <v>CO2_T</v>
          </cell>
          <cell r="H690">
            <v>1.2455083737381449</v>
          </cell>
          <cell r="I690">
            <v>0.49028527455973414</v>
          </cell>
          <cell r="J690">
            <v>2.3337354508570919E-2</v>
          </cell>
        </row>
        <row r="691">
          <cell r="A691" t="str">
            <v>T-Plg-DSL-mix_S4</v>
          </cell>
          <cell r="B691" t="str">
            <v>VAR_fout</v>
          </cell>
          <cell r="C691" t="str">
            <v>T-PEVmix-ELC_DSL_S4</v>
          </cell>
          <cell r="H691">
            <v>8.9547204777626517E-3</v>
          </cell>
          <cell r="I691">
            <v>3.6990020798919184E-3</v>
          </cell>
          <cell r="J691">
            <v>1.8280356434301315E-4</v>
          </cell>
        </row>
        <row r="692">
          <cell r="A692" t="str">
            <v>T-Plg-DSL-mix_S4</v>
          </cell>
          <cell r="B692" t="str">
            <v>VAR_fin</v>
          </cell>
          <cell r="C692" t="str">
            <v>TDSL</v>
          </cell>
          <cell r="H692">
            <v>1.6991928700383966E-2</v>
          </cell>
          <cell r="I692">
            <v>6.6887486297371665E-3</v>
          </cell>
          <cell r="J692">
            <v>3.1838137119469218E-4</v>
          </cell>
        </row>
        <row r="693">
          <cell r="A693" t="str">
            <v>T_C-FC-H2O-S2</v>
          </cell>
          <cell r="B693" t="str">
            <v>VAR_fout</v>
          </cell>
          <cell r="C693" t="str">
            <v>TPCAR</v>
          </cell>
          <cell r="H693">
            <v>7.0188641158566267E-6</v>
          </cell>
          <cell r="I693">
            <v>7.0203799083168387E-6</v>
          </cell>
          <cell r="J693">
            <v>7.6609528073399537E-6</v>
          </cell>
        </row>
        <row r="694">
          <cell r="A694" t="str">
            <v>T_C-FC-H2O-S2</v>
          </cell>
          <cell r="B694" t="str">
            <v>VAR_fin</v>
          </cell>
          <cell r="C694" t="str">
            <v>TH2O</v>
          </cell>
          <cell r="H694">
            <v>7.6826475716848217E-6</v>
          </cell>
          <cell r="I694">
            <v>7.1280787007312586E-6</v>
          </cell>
          <cell r="J694">
            <v>6.9674690824914715E-6</v>
          </cell>
        </row>
        <row r="695">
          <cell r="A695" t="str">
            <v>T_C-FC-H2O-S2</v>
          </cell>
          <cell r="B695" t="str">
            <v>VAR_ncap</v>
          </cell>
          <cell r="C695" t="str">
            <v>-</v>
          </cell>
          <cell r="H695">
            <v>2.7384478730573302E-7</v>
          </cell>
          <cell r="I695">
            <v>4.33506664909812E-7</v>
          </cell>
          <cell r="J695">
            <v>5.3416350094594602E-7</v>
          </cell>
        </row>
        <row r="696">
          <cell r="A696" t="str">
            <v>T_C-FC-H2O-S2</v>
          </cell>
          <cell r="B696" t="str">
            <v>VAR_cap</v>
          </cell>
          <cell r="C696" t="str">
            <v>-</v>
          </cell>
          <cell r="H696">
            <v>7.6906245224390201E-7</v>
          </cell>
          <cell r="I696">
            <v>7.8087544300310075E-7</v>
          </cell>
          <cell r="J696">
            <v>7.4347710438566301E-7</v>
          </cell>
        </row>
        <row r="697">
          <cell r="A697" t="str">
            <v>T_B_c-ICEDSL-S2</v>
          </cell>
          <cell r="B697" t="str">
            <v>VAR_fout</v>
          </cell>
          <cell r="C697" t="str">
            <v>CO2_T</v>
          </cell>
          <cell r="I697">
            <v>8.71033935807821E-4</v>
          </cell>
          <cell r="J697">
            <v>2.8242933072187502E-4</v>
          </cell>
        </row>
        <row r="698">
          <cell r="A698" t="str">
            <v>T_B_c-ICEDSL-S2</v>
          </cell>
          <cell r="B698" t="str">
            <v>VAR_fout</v>
          </cell>
          <cell r="C698" t="str">
            <v>TPBSc</v>
          </cell>
          <cell r="I698">
            <v>1.3479937146090977E-6</v>
          </cell>
          <cell r="J698">
            <v>4.370816646555315E-7</v>
          </cell>
        </row>
        <row r="699">
          <cell r="A699" t="str">
            <v>T_B_c-ICEDSL-S2</v>
          </cell>
          <cell r="B699" t="str">
            <v>VAR_fin</v>
          </cell>
          <cell r="C699" t="str">
            <v>TDSL</v>
          </cell>
          <cell r="I699">
            <v>1.1883136914158546E-5</v>
          </cell>
          <cell r="J699">
            <v>3.8530604464103081E-6</v>
          </cell>
        </row>
        <row r="700">
          <cell r="A700" t="str">
            <v>T_B_c-ICEDSL-S2</v>
          </cell>
          <cell r="B700" t="str">
            <v>VAR_ncap</v>
          </cell>
          <cell r="C700" t="str">
            <v>-</v>
          </cell>
          <cell r="I700">
            <v>4.68543067686334E-8</v>
          </cell>
        </row>
        <row r="701">
          <cell r="A701" t="str">
            <v>T_B_c-ICEDSL-S2</v>
          </cell>
          <cell r="B701" t="str">
            <v>VAR_cap</v>
          </cell>
          <cell r="C701" t="str">
            <v>-</v>
          </cell>
          <cell r="H701">
            <v>-4.1423104807005657E-11</v>
          </cell>
          <cell r="I701">
            <v>2.8027699311344798E-8</v>
          </cell>
          <cell r="J701">
            <v>2.3497682702656199E-8</v>
          </cell>
        </row>
        <row r="702">
          <cell r="A702" t="str">
            <v>T_TW-FCLH2O-S1</v>
          </cell>
          <cell r="B702" t="str">
            <v>VAR_fout</v>
          </cell>
          <cell r="C702" t="str">
            <v>TPTWL</v>
          </cell>
          <cell r="H702">
            <v>3.7008541466392779E-4</v>
          </cell>
          <cell r="I702">
            <v>5.0925423563651768E-4</v>
          </cell>
          <cell r="J702">
            <v>4.785246758580873E-4</v>
          </cell>
        </row>
        <row r="703">
          <cell r="A703" t="str">
            <v>T_TW-FCLH2O-S1</v>
          </cell>
          <cell r="B703" t="str">
            <v>VAR_fin</v>
          </cell>
          <cell r="C703" t="str">
            <v>TH2O</v>
          </cell>
          <cell r="H703">
            <v>7.8978653789492557E-5</v>
          </cell>
          <cell r="I703">
            <v>1.0728800619468799E-4</v>
          </cell>
          <cell r="J703">
            <v>9.8081131625800318E-5</v>
          </cell>
        </row>
        <row r="704">
          <cell r="A704" t="str">
            <v>T_TW-FCLH2O-S1</v>
          </cell>
          <cell r="B704" t="str">
            <v>VAR_ncap</v>
          </cell>
          <cell r="C704" t="str">
            <v>-</v>
          </cell>
          <cell r="H704">
            <v>8.9746524208169105E-5</v>
          </cell>
          <cell r="I704">
            <v>9.6471331433126798E-5</v>
          </cell>
          <cell r="J704">
            <v>1.2459831104715601E-4</v>
          </cell>
        </row>
        <row r="705">
          <cell r="A705" t="str">
            <v>T_TW-FCLH2O-S1</v>
          </cell>
          <cell r="B705" t="str">
            <v>VAR_cap</v>
          </cell>
          <cell r="C705" t="str">
            <v>-</v>
          </cell>
          <cell r="H705">
            <v>1.4249087776353642E-4</v>
          </cell>
          <cell r="I705">
            <v>1.9549678133098849E-4</v>
          </cell>
          <cell r="J705">
            <v>1.8868169449463512E-4</v>
          </cell>
        </row>
        <row r="706">
          <cell r="A706" t="str">
            <v>D-T-ELC-TW_Bat_S1</v>
          </cell>
          <cell r="B706" t="str">
            <v>VAR_fout</v>
          </cell>
          <cell r="C706" t="str">
            <v>T-ELC-TWSTGin_S1</v>
          </cell>
          <cell r="H706">
            <v>2.7384397786202504E-3</v>
          </cell>
          <cell r="I706">
            <v>2.2712632608544421E-3</v>
          </cell>
          <cell r="J706">
            <v>0.12075117890095058</v>
          </cell>
        </row>
        <row r="707">
          <cell r="A707" t="str">
            <v>D-T-ELC-TW_Bat_S1</v>
          </cell>
          <cell r="B707" t="str">
            <v>VAR_fin</v>
          </cell>
          <cell r="C707" t="str">
            <v>TELC</v>
          </cell>
          <cell r="H707">
            <v>2.7384397786202504E-3</v>
          </cell>
          <cell r="I707">
            <v>2.2712632608544421E-3</v>
          </cell>
          <cell r="J707">
            <v>0.12075117890095058</v>
          </cell>
        </row>
        <row r="708">
          <cell r="A708" t="str">
            <v>D-T-ELC-TW_Bat_S1</v>
          </cell>
          <cell r="B708" t="str">
            <v>VAR_ncap</v>
          </cell>
          <cell r="C708" t="str">
            <v>-</v>
          </cell>
          <cell r="H708">
            <v>2.15828194164402E-4</v>
          </cell>
          <cell r="I708">
            <v>1.22801556356339E-5</v>
          </cell>
          <cell r="J708">
            <v>1.27196852520308E-2</v>
          </cell>
        </row>
        <row r="709">
          <cell r="A709" t="str">
            <v>D-T-ELC-TW_Bat_S1</v>
          </cell>
          <cell r="B709" t="str">
            <v>VAR_cap</v>
          </cell>
          <cell r="C709" t="str">
            <v>-</v>
          </cell>
          <cell r="H709">
            <v>2.9042079439614202E-4</v>
          </cell>
          <cell r="I709">
            <v>2.41109327319869E-4</v>
          </cell>
          <cell r="J709">
            <v>1.27637192105179E-2</v>
          </cell>
        </row>
        <row r="710">
          <cell r="A710" t="str">
            <v>T_C-FC-H2O-S3</v>
          </cell>
          <cell r="B710" t="str">
            <v>VAR_fout</v>
          </cell>
          <cell r="C710" t="str">
            <v>TPCAR</v>
          </cell>
          <cell r="H710">
            <v>8.1182665636516019E-6</v>
          </cell>
          <cell r="I710">
            <v>7.3332468161367407E-6</v>
          </cell>
          <cell r="J710">
            <v>8.8374009216105402E-6</v>
          </cell>
        </row>
        <row r="711">
          <cell r="A711" t="str">
            <v>T_C-FC-H2O-S3</v>
          </cell>
          <cell r="B711" t="str">
            <v>VAR_fin</v>
          </cell>
          <cell r="C711" t="str">
            <v>TH2O</v>
          </cell>
          <cell r="H711">
            <v>9.5443490811197339E-6</v>
          </cell>
          <cell r="I711">
            <v>7.987414355843348E-6</v>
          </cell>
          <cell r="J711">
            <v>8.5956101712292368E-6</v>
          </cell>
        </row>
        <row r="712">
          <cell r="A712" t="str">
            <v>T_C-FC-H2O-S3</v>
          </cell>
          <cell r="B712" t="str">
            <v>VAR_ncap</v>
          </cell>
          <cell r="C712" t="str">
            <v>-</v>
          </cell>
          <cell r="H712">
            <v>2.3568574170666399E-7</v>
          </cell>
          <cell r="I712">
            <v>3.9898405808212402E-7</v>
          </cell>
          <cell r="J712">
            <v>5.5619310743946902E-7</v>
          </cell>
        </row>
        <row r="713">
          <cell r="A713" t="str">
            <v>T_C-FC-H2O-S3</v>
          </cell>
          <cell r="B713" t="str">
            <v>VAR_cap</v>
          </cell>
          <cell r="C713" t="str">
            <v>-</v>
          </cell>
          <cell r="H713">
            <v>8.2017962476897631E-7</v>
          </cell>
          <cell r="I713">
            <v>6.9483843055979303E-7</v>
          </cell>
          <cell r="J713">
            <v>7.3529469530102397E-7</v>
          </cell>
        </row>
        <row r="714">
          <cell r="A714" t="str">
            <v>T_B_c-ICEDSL-S3</v>
          </cell>
          <cell r="B714" t="str">
            <v>VAR_fout</v>
          </cell>
          <cell r="C714" t="str">
            <v>CO2_T</v>
          </cell>
        </row>
        <row r="715">
          <cell r="A715" t="str">
            <v>T_B_c-ICEDSL-S3</v>
          </cell>
          <cell r="B715" t="str">
            <v>VAR_fout</v>
          </cell>
          <cell r="C715" t="str">
            <v>TPBSc</v>
          </cell>
        </row>
        <row r="716">
          <cell r="A716" t="str">
            <v>T_B_c-ICEDSL-S3</v>
          </cell>
          <cell r="B716" t="str">
            <v>VAR_fin</v>
          </cell>
          <cell r="C716" t="str">
            <v>TDSL</v>
          </cell>
        </row>
        <row r="717">
          <cell r="A717" t="str">
            <v>T_B_c-ICEDSL-S3</v>
          </cell>
          <cell r="B717" t="str">
            <v>VAR_ncap</v>
          </cell>
          <cell r="C717" t="str">
            <v>-</v>
          </cell>
        </row>
        <row r="718">
          <cell r="A718" t="str">
            <v>T_B_c-ICEDSL-S3</v>
          </cell>
          <cell r="B718" t="str">
            <v>VAR_cap</v>
          </cell>
          <cell r="C718" t="str">
            <v>-</v>
          </cell>
        </row>
        <row r="719">
          <cell r="A719" t="str">
            <v>T_TW-FCLH2O-S2</v>
          </cell>
          <cell r="B719" t="str">
            <v>VAR_fout</v>
          </cell>
          <cell r="C719" t="str">
            <v>TPTWL</v>
          </cell>
          <cell r="H719">
            <v>1.6617547888590352E-4</v>
          </cell>
          <cell r="I719">
            <v>2.2738857574019353E-4</v>
          </cell>
          <cell r="J719">
            <v>1.8614019315491622E-4</v>
          </cell>
        </row>
        <row r="720">
          <cell r="A720" t="str">
            <v>T_TW-FCLH2O-S2</v>
          </cell>
          <cell r="B720" t="str">
            <v>VAR_fin</v>
          </cell>
          <cell r="C720" t="str">
            <v>TH2O</v>
          </cell>
          <cell r="H720">
            <v>6.0982411212458886E-5</v>
          </cell>
          <cell r="I720">
            <v>8.2637340608711241E-5</v>
          </cell>
          <cell r="J720">
            <v>6.6164124455245614E-5</v>
          </cell>
        </row>
        <row r="721">
          <cell r="A721" t="str">
            <v>T_TW-FCLH2O-S2</v>
          </cell>
          <cell r="B721" t="str">
            <v>VAR_ncap</v>
          </cell>
          <cell r="C721" t="str">
            <v>-</v>
          </cell>
          <cell r="H721">
            <v>3.8663192186480399E-5</v>
          </cell>
          <cell r="I721">
            <v>3.6555273141870997E-5</v>
          </cell>
          <cell r="J721">
            <v>3.5826433468071E-5</v>
          </cell>
        </row>
        <row r="722">
          <cell r="A722" t="str">
            <v>T_TW-FCLH2O-S2</v>
          </cell>
          <cell r="B722" t="str">
            <v>VAR_cap</v>
          </cell>
          <cell r="C722" t="str">
            <v>-</v>
          </cell>
          <cell r="H722">
            <v>6.4546383723738509E-5</v>
          </cell>
          <cell r="I722">
            <v>8.8597056161192429E-5</v>
          </cell>
          <cell r="J722">
            <v>7.2891810736097875E-5</v>
          </cell>
        </row>
        <row r="723">
          <cell r="A723" t="str">
            <v>D-T-ELC-TW_Bat_S2</v>
          </cell>
          <cell r="B723" t="str">
            <v>VAR_fout</v>
          </cell>
          <cell r="C723" t="str">
            <v>T-ELC-TWSTGin_S2</v>
          </cell>
          <cell r="H723">
            <v>2.8904585608543172E-3</v>
          </cell>
          <cell r="I723">
            <v>2.4182526359396253E-3</v>
          </cell>
          <cell r="J723">
            <v>9.2512595932934172E-4</v>
          </cell>
        </row>
        <row r="724">
          <cell r="A724" t="str">
            <v>D-T-ELC-TW_Bat_S2</v>
          </cell>
          <cell r="B724" t="str">
            <v>VAR_fin</v>
          </cell>
          <cell r="C724" t="str">
            <v>TELC</v>
          </cell>
          <cell r="H724">
            <v>2.8904585608543172E-3</v>
          </cell>
          <cell r="I724">
            <v>2.4182526359396253E-3</v>
          </cell>
          <cell r="J724">
            <v>9.2512595932934172E-4</v>
          </cell>
        </row>
        <row r="725">
          <cell r="A725" t="str">
            <v>D-T-ELC-TW_Bat_S2</v>
          </cell>
          <cell r="B725" t="str">
            <v>VAR_ncap</v>
          </cell>
          <cell r="C725" t="str">
            <v>-</v>
          </cell>
          <cell r="H725">
            <v>2.09094497394175E-4</v>
          </cell>
          <cell r="I725">
            <v>1.41048079278338E-6</v>
          </cell>
          <cell r="J725">
            <v>2.71662342880941E-5</v>
          </cell>
        </row>
        <row r="726">
          <cell r="A726" t="str">
            <v>D-T-ELC-TW_Bat_S2</v>
          </cell>
          <cell r="B726" t="str">
            <v>VAR_cap</v>
          </cell>
          <cell r="C726" t="str">
            <v>-</v>
          </cell>
          <cell r="H726">
            <v>3.0613038847074201E-4</v>
          </cell>
          <cell r="I726">
            <v>2.5765418039243901E-4</v>
          </cell>
          <cell r="J726">
            <v>9.9706344411640995E-5</v>
          </cell>
        </row>
        <row r="727">
          <cell r="A727" t="str">
            <v>T_C-FC-H2O-S4</v>
          </cell>
          <cell r="B727" t="str">
            <v>VAR_fout</v>
          </cell>
          <cell r="C727" t="str">
            <v>TPCAR</v>
          </cell>
          <cell r="H727">
            <v>6.1978060800305417E-6</v>
          </cell>
          <cell r="I727">
            <v>6.3792785856004877E-6</v>
          </cell>
          <cell r="J727">
            <v>7.4535765651051732E-6</v>
          </cell>
        </row>
        <row r="728">
          <cell r="A728" t="str">
            <v>T_C-FC-H2O-S4</v>
          </cell>
          <cell r="B728" t="str">
            <v>VAR_fin</v>
          </cell>
          <cell r="C728" t="str">
            <v>TH2O</v>
          </cell>
          <cell r="H728">
            <v>7.2325981302788142E-6</v>
          </cell>
          <cell r="I728">
            <v>6.9167076052405808E-6</v>
          </cell>
          <cell r="J728">
            <v>7.2674445704043436E-6</v>
          </cell>
        </row>
        <row r="729">
          <cell r="A729" t="str">
            <v>T_C-FC-H2O-S4</v>
          </cell>
          <cell r="B729" t="str">
            <v>VAR_ncap</v>
          </cell>
          <cell r="C729" t="str">
            <v>-</v>
          </cell>
          <cell r="H729">
            <v>2.6048447135246299E-7</v>
          </cell>
          <cell r="I729">
            <v>4.3331012685905101E-7</v>
          </cell>
          <cell r="J729">
            <v>5.7220369771530203E-7</v>
          </cell>
        </row>
        <row r="730">
          <cell r="A730" t="str">
            <v>T_C-FC-H2O-S4</v>
          </cell>
          <cell r="B730" t="str">
            <v>VAR_cap</v>
          </cell>
          <cell r="C730" t="str">
            <v>-</v>
          </cell>
          <cell r="H730">
            <v>7.2892830384804588E-7</v>
          </cell>
          <cell r="I730">
            <v>7.6214263614060911E-7</v>
          </cell>
          <cell r="J730">
            <v>7.7250856845098498E-7</v>
          </cell>
        </row>
        <row r="731">
          <cell r="A731" t="str">
            <v>T_B_c-ICEDSL-S4</v>
          </cell>
          <cell r="B731" t="str">
            <v>VAR_fout</v>
          </cell>
          <cell r="C731" t="str">
            <v>CO2_T</v>
          </cell>
        </row>
        <row r="732">
          <cell r="A732" t="str">
            <v>T_B_c-ICEDSL-S4</v>
          </cell>
          <cell r="B732" t="str">
            <v>VAR_fout</v>
          </cell>
          <cell r="C732" t="str">
            <v>TPBSc</v>
          </cell>
        </row>
        <row r="733">
          <cell r="A733" t="str">
            <v>T_B_c-ICEDSL-S4</v>
          </cell>
          <cell r="B733" t="str">
            <v>VAR_fin</v>
          </cell>
          <cell r="C733" t="str">
            <v>TDSL</v>
          </cell>
        </row>
        <row r="734">
          <cell r="A734" t="str">
            <v>T_B_c-ICEDSL-S4</v>
          </cell>
          <cell r="B734" t="str">
            <v>VAR_ncap</v>
          </cell>
          <cell r="C734" t="str">
            <v>-</v>
          </cell>
        </row>
        <row r="735">
          <cell r="A735" t="str">
            <v>T_B_c-ICEDSL-S4</v>
          </cell>
          <cell r="B735" t="str">
            <v>VAR_cap</v>
          </cell>
          <cell r="C735" t="str">
            <v>-</v>
          </cell>
        </row>
        <row r="736">
          <cell r="A736" t="str">
            <v>D-T-ELC-HGV</v>
          </cell>
          <cell r="B736" t="str">
            <v>VAR_fout</v>
          </cell>
          <cell r="C736" t="str">
            <v>T-ELC-HGV_BatSTGin</v>
          </cell>
          <cell r="H736">
            <v>1.4601930940819938</v>
          </cell>
          <cell r="I736">
            <v>2.5960425251357644</v>
          </cell>
          <cell r="J736">
            <v>7.766020716685591</v>
          </cell>
        </row>
        <row r="737">
          <cell r="A737" t="str">
            <v>D-T-ELC-HGV</v>
          </cell>
          <cell r="B737" t="str">
            <v>VAR_fin</v>
          </cell>
          <cell r="C737" t="str">
            <v>TELC</v>
          </cell>
          <cell r="H737">
            <v>1.4601930940819938</v>
          </cell>
          <cell r="I737">
            <v>2.5960425251357644</v>
          </cell>
          <cell r="J737">
            <v>7.766020716685591</v>
          </cell>
        </row>
        <row r="738">
          <cell r="A738" t="str">
            <v>D-T-ELC-HGV</v>
          </cell>
          <cell r="B738" t="str">
            <v>VAR_ncap</v>
          </cell>
          <cell r="C738" t="str">
            <v>-</v>
          </cell>
          <cell r="H738">
            <v>0.18428104556055799</v>
          </cell>
          <cell r="I738">
            <v>0.20209840032382101</v>
          </cell>
          <cell r="J738">
            <v>0.94747265534055003</v>
          </cell>
        </row>
        <row r="739">
          <cell r="A739" t="str">
            <v>D-T-ELC-HGV</v>
          </cell>
          <cell r="B739" t="str">
            <v>VAR_cap</v>
          </cell>
          <cell r="C739" t="str">
            <v>-</v>
          </cell>
          <cell r="H739">
            <v>0.184307967863583</v>
          </cell>
          <cell r="I739">
            <v>0.327959831570733</v>
          </cell>
          <cell r="J739">
            <v>0.98293862801652898</v>
          </cell>
        </row>
        <row r="740">
          <cell r="A740" t="str">
            <v>T_TW-FCLH2O-S3</v>
          </cell>
          <cell r="B740" t="str">
            <v>VAR_fout</v>
          </cell>
          <cell r="C740" t="str">
            <v>TPTWL</v>
          </cell>
          <cell r="H740">
            <v>7.9706174045352077E-5</v>
          </cell>
          <cell r="I740">
            <v>1.196002500648063E-4</v>
          </cell>
          <cell r="J740">
            <v>1.283719475201771E-4</v>
          </cell>
        </row>
        <row r="741">
          <cell r="A741" t="str">
            <v>T_TW-FCLH2O-S3</v>
          </cell>
          <cell r="B741" t="str">
            <v>VAR_fin</v>
          </cell>
          <cell r="C741" t="str">
            <v>TH2O</v>
          </cell>
          <cell r="H741">
            <v>4.4888664729993889E-5</v>
          </cell>
          <cell r="I741">
            <v>6.6833527274291844E-5</v>
          </cell>
          <cell r="J741">
            <v>7.0314100588813759E-5</v>
          </cell>
        </row>
        <row r="742">
          <cell r="A742" t="str">
            <v>T_TW-FCLH2O-S3</v>
          </cell>
          <cell r="B742" t="str">
            <v>VAR_ncap</v>
          </cell>
          <cell r="C742" t="str">
            <v>-</v>
          </cell>
          <cell r="H742">
            <v>1.6333882355768099E-5</v>
          </cell>
          <cell r="I742">
            <v>1.5601814669829801E-5</v>
          </cell>
          <cell r="J742">
            <v>1.7795165010094599E-5</v>
          </cell>
        </row>
        <row r="743">
          <cell r="A743" t="str">
            <v>T_TW-FCLH2O-S3</v>
          </cell>
          <cell r="B743" t="str">
            <v>VAR_cap</v>
          </cell>
          <cell r="C743" t="str">
            <v>-</v>
          </cell>
          <cell r="H743">
            <v>3.0811134246981228E-5</v>
          </cell>
          <cell r="I743">
            <v>4.6384482508010355E-5</v>
          </cell>
          <cell r="J743">
            <v>5.0143378073057593E-5</v>
          </cell>
        </row>
        <row r="744">
          <cell r="A744" t="str">
            <v>D-T-ELC-TW_Bat_S3</v>
          </cell>
          <cell r="B744" t="str">
            <v>VAR_fout</v>
          </cell>
          <cell r="C744" t="str">
            <v>T-ELC-TWSTGin_S3</v>
          </cell>
          <cell r="H744">
            <v>3.7444595959091804E-3</v>
          </cell>
          <cell r="I744">
            <v>3.2701470343889289E-3</v>
          </cell>
          <cell r="J744">
            <v>1.3073683668458206E-3</v>
          </cell>
        </row>
        <row r="745">
          <cell r="A745" t="str">
            <v>D-T-ELC-TW_Bat_S3</v>
          </cell>
          <cell r="B745" t="str">
            <v>VAR_fin</v>
          </cell>
          <cell r="C745" t="str">
            <v>TELC</v>
          </cell>
          <cell r="H745">
            <v>3.7444595959091804E-3</v>
          </cell>
          <cell r="I745">
            <v>3.2701470343889289E-3</v>
          </cell>
          <cell r="J745">
            <v>1.3073683668458206E-3</v>
          </cell>
        </row>
        <row r="746">
          <cell r="A746" t="str">
            <v>D-T-ELC-TW_Bat_S3</v>
          </cell>
          <cell r="B746" t="str">
            <v>VAR_ncap</v>
          </cell>
          <cell r="C746" t="str">
            <v>-</v>
          </cell>
          <cell r="H746">
            <v>1.9758502000654599E-4</v>
          </cell>
          <cell r="I746">
            <v>2.1038098819886101E-6</v>
          </cell>
          <cell r="J746">
            <v>1.4695142937045399E-6</v>
          </cell>
        </row>
        <row r="747">
          <cell r="A747" t="str">
            <v>D-T-ELC-TW_Bat_S3</v>
          </cell>
          <cell r="B747" t="str">
            <v>VAR_cap</v>
          </cell>
          <cell r="C747" t="str">
            <v>-</v>
          </cell>
          <cell r="H747">
            <v>3.9641708224893502E-4</v>
          </cell>
          <cell r="I747">
            <v>3.4609016919344399E-4</v>
          </cell>
          <cell r="J747">
            <v>1.8632221439190901E-4</v>
          </cell>
        </row>
        <row r="748">
          <cell r="A748" t="str">
            <v>T_TW-FCLH2O-S4</v>
          </cell>
          <cell r="B748" t="str">
            <v>VAR_fout</v>
          </cell>
          <cell r="C748" t="str">
            <v>TPTWL</v>
          </cell>
          <cell r="H748">
            <v>4.08231033184744E-5</v>
          </cell>
          <cell r="I748">
            <v>6.4169271899101516E-5</v>
          </cell>
          <cell r="J748">
            <v>8.2733225966104913E-5</v>
          </cell>
        </row>
        <row r="749">
          <cell r="A749" t="str">
            <v>T_TW-FCLH2O-S4</v>
          </cell>
          <cell r="B749" t="str">
            <v>VAR_fin</v>
          </cell>
          <cell r="C749" t="str">
            <v>TH2O</v>
          </cell>
          <cell r="H749">
            <v>2.5876323374268715E-5</v>
          </cell>
          <cell r="I749">
            <v>4.0290216062139699E-5</v>
          </cell>
          <cell r="J749">
            <v>5.1053484903669891E-5</v>
          </cell>
        </row>
        <row r="750">
          <cell r="A750" t="str">
            <v>T_TW-FCLH2O-S4</v>
          </cell>
          <cell r="B750" t="str">
            <v>VAR_ncap</v>
          </cell>
          <cell r="C750" t="str">
            <v>-</v>
          </cell>
          <cell r="H750">
            <v>8.5234835468134803E-6</v>
          </cell>
          <cell r="I750">
            <v>8.9820884637355297E-6</v>
          </cell>
          <cell r="J750">
            <v>9.8161355460584392E-6</v>
          </cell>
        </row>
        <row r="751">
          <cell r="A751" t="str">
            <v>T_TW-FCLH2O-S4</v>
          </cell>
          <cell r="B751" t="str">
            <v>VAR_cap</v>
          </cell>
          <cell r="C751" t="str">
            <v>-</v>
          </cell>
          <cell r="H751">
            <v>1.5658142478581496E-5</v>
          </cell>
          <cell r="I751">
            <v>2.4620037389469028E-5</v>
          </cell>
          <cell r="J751">
            <v>3.1968354507393401E-5</v>
          </cell>
        </row>
        <row r="752">
          <cell r="A752" t="str">
            <v>D-T-ELC-TW_Bat_S4</v>
          </cell>
          <cell r="B752" t="str">
            <v>VAR_fout</v>
          </cell>
          <cell r="C752" t="str">
            <v>T-ELC-TWSTGin_S4</v>
          </cell>
          <cell r="H752">
            <v>3.5323614993814042E-3</v>
          </cell>
          <cell r="I752">
            <v>3.5410482305018435E-3</v>
          </cell>
          <cell r="J752">
            <v>2.0397270057064881E-3</v>
          </cell>
        </row>
        <row r="753">
          <cell r="A753" t="str">
            <v>D-T-ELC-TW_Bat_S4</v>
          </cell>
          <cell r="B753" t="str">
            <v>VAR_fin</v>
          </cell>
          <cell r="C753" t="str">
            <v>TELC</v>
          </cell>
          <cell r="H753">
            <v>3.5323614993814042E-3</v>
          </cell>
          <cell r="I753">
            <v>3.5410482305018435E-3</v>
          </cell>
          <cell r="J753">
            <v>2.0397270057064881E-3</v>
          </cell>
        </row>
        <row r="754">
          <cell r="A754" t="str">
            <v>D-T-ELC-TW_Bat_S4</v>
          </cell>
          <cell r="B754" t="str">
            <v>VAR_ncap</v>
          </cell>
          <cell r="C754" t="str">
            <v>-</v>
          </cell>
          <cell r="H754">
            <v>1.8353984630290699E-4</v>
          </cell>
          <cell r="I754">
            <v>1.23038091469378E-6</v>
          </cell>
          <cell r="J754">
            <v>2.1801087697659601E-6</v>
          </cell>
        </row>
        <row r="755">
          <cell r="A755" t="str">
            <v>D-T-ELC-TW_Bat_S4</v>
          </cell>
          <cell r="B755" t="str">
            <v>VAR_cap</v>
          </cell>
          <cell r="C755" t="str">
            <v>-</v>
          </cell>
          <cell r="H755">
            <v>3.7384751863628801E-4</v>
          </cell>
          <cell r="I755">
            <v>3.7507789955098202E-4</v>
          </cell>
          <cell r="J755">
            <v>2.47954119434963E-4</v>
          </cell>
        </row>
        <row r="756">
          <cell r="A756" t="str">
            <v>T_B_u-ICENGA-S1</v>
          </cell>
          <cell r="B756" t="str">
            <v>VAR_fout</v>
          </cell>
          <cell r="C756" t="str">
            <v>CO2_T</v>
          </cell>
          <cell r="H756">
            <v>5.5465716463388697E-5</v>
          </cell>
        </row>
        <row r="757">
          <cell r="A757" t="str">
            <v>T_B_u-ICENGA-S1</v>
          </cell>
          <cell r="B757" t="str">
            <v>VAR_fout</v>
          </cell>
          <cell r="C757" t="str">
            <v>TPBSu</v>
          </cell>
          <cell r="H757">
            <v>1.4291716505976082E-7</v>
          </cell>
        </row>
        <row r="758">
          <cell r="A758" t="str">
            <v>T_B_u-ICENGA-S1</v>
          </cell>
          <cell r="B758" t="str">
            <v>VAR_fin</v>
          </cell>
          <cell r="C758" t="str">
            <v>TNGA</v>
          </cell>
          <cell r="H758">
            <v>9.834346890671762E-7</v>
          </cell>
        </row>
        <row r="759">
          <cell r="A759" t="str">
            <v>T_B_u-ICENGA-S1</v>
          </cell>
          <cell r="B759" t="str">
            <v>VAR_ncap</v>
          </cell>
          <cell r="C759" t="str">
            <v>-</v>
          </cell>
          <cell r="H759">
            <v>1.3375628187521601E-8</v>
          </cell>
        </row>
        <row r="760">
          <cell r="A760" t="str">
            <v>T_B_u-ICENGA-S1</v>
          </cell>
          <cell r="B760" t="str">
            <v>VAR_cap</v>
          </cell>
          <cell r="C760" t="str">
            <v>-</v>
          </cell>
          <cell r="H760">
            <v>1.3336805287998974E-8</v>
          </cell>
          <cell r="I760">
            <v>-4.6460442248839965E-10</v>
          </cell>
          <cell r="J760">
            <v>2.34727075059767E-9</v>
          </cell>
        </row>
        <row r="761">
          <cell r="A761" t="str">
            <v>T_B_u-ICENGA-S2</v>
          </cell>
          <cell r="B761" t="str">
            <v>VAR_fout</v>
          </cell>
          <cell r="C761" t="str">
            <v>CO2_T</v>
          </cell>
          <cell r="H761">
            <v>8.2771039905692802E-5</v>
          </cell>
        </row>
        <row r="762">
          <cell r="A762" t="str">
            <v>T_B_u-ICENGA-S2</v>
          </cell>
          <cell r="B762" t="str">
            <v>VAR_fout</v>
          </cell>
          <cell r="C762" t="str">
            <v>TPBSu</v>
          </cell>
          <cell r="H762">
            <v>1.4947557332030119E-7</v>
          </cell>
        </row>
        <row r="763">
          <cell r="A763" t="str">
            <v>T_B_u-ICENGA-S2</v>
          </cell>
          <cell r="B763" t="str">
            <v>VAR_fin</v>
          </cell>
          <cell r="C763" t="str">
            <v>TNGA</v>
          </cell>
          <cell r="H763">
            <v>1.4675716295335588E-6</v>
          </cell>
        </row>
        <row r="764">
          <cell r="A764" t="str">
            <v>T_B_u-ICENGA-S2</v>
          </cell>
          <cell r="B764" t="str">
            <v>VAR_ncap</v>
          </cell>
          <cell r="C764" t="str">
            <v>-</v>
          </cell>
          <cell r="H764">
            <v>1.70750108825008E-8</v>
          </cell>
        </row>
        <row r="765">
          <cell r="A765" t="str">
            <v>T_B_u-ICENGA-S2</v>
          </cell>
          <cell r="B765" t="str">
            <v>VAR_cap</v>
          </cell>
          <cell r="C765" t="str">
            <v>-</v>
          </cell>
          <cell r="H765">
            <v>1.4888333738628014E-8</v>
          </cell>
          <cell r="I765">
            <v>-5.7028257990178013E-9</v>
          </cell>
          <cell r="J765">
            <v>2.9964703749781498E-9</v>
          </cell>
        </row>
        <row r="766">
          <cell r="A766" t="str">
            <v>T_B_c-ICEDSLEXT</v>
          </cell>
          <cell r="B766" t="str">
            <v>VAR_fout</v>
          </cell>
          <cell r="C766" t="str">
            <v>CO2_T</v>
          </cell>
        </row>
        <row r="767">
          <cell r="A767" t="str">
            <v>T_B_c-ICEDSLEXT</v>
          </cell>
          <cell r="B767" t="str">
            <v>VAR_fout</v>
          </cell>
          <cell r="C767" t="str">
            <v>TPBSc</v>
          </cell>
        </row>
        <row r="768">
          <cell r="A768" t="str">
            <v>T_B_c-ICEDSLEXT</v>
          </cell>
          <cell r="B768" t="str">
            <v>VAR_fin</v>
          </cell>
          <cell r="C768" t="str">
            <v>TDSL</v>
          </cell>
        </row>
        <row r="769">
          <cell r="A769" t="str">
            <v>T_B_c-ICEDSLEXT</v>
          </cell>
          <cell r="B769" t="str">
            <v>VAR_cap</v>
          </cell>
          <cell r="C769" t="str">
            <v>-</v>
          </cell>
        </row>
        <row r="770">
          <cell r="A770" t="str">
            <v>T_B_u-ICENGA-S3</v>
          </cell>
          <cell r="B770" t="str">
            <v>VAR_fout</v>
          </cell>
          <cell r="C770" t="str">
            <v>CO2_T</v>
          </cell>
        </row>
        <row r="771">
          <cell r="A771" t="str">
            <v>T_B_u-ICENGA-S3</v>
          </cell>
          <cell r="B771" t="str">
            <v>VAR_fout</v>
          </cell>
          <cell r="C771" t="str">
            <v>TPBSu</v>
          </cell>
        </row>
        <row r="772">
          <cell r="A772" t="str">
            <v>T_B_u-ICENGA-S3</v>
          </cell>
          <cell r="B772" t="str">
            <v>VAR_fin</v>
          </cell>
          <cell r="C772" t="str">
            <v>TNGA</v>
          </cell>
        </row>
        <row r="773">
          <cell r="A773" t="str">
            <v>T_B_u-ICENGA-S3</v>
          </cell>
          <cell r="B773" t="str">
            <v>VAR_ncap</v>
          </cell>
          <cell r="C773" t="str">
            <v>-</v>
          </cell>
        </row>
        <row r="774">
          <cell r="A774" t="str">
            <v>T_B_u-ICENGA-S3</v>
          </cell>
          <cell r="B774" t="str">
            <v>VAR_cap</v>
          </cell>
          <cell r="C774" t="str">
            <v>-</v>
          </cell>
        </row>
        <row r="775">
          <cell r="A775" t="str">
            <v>T_B_u-ICENGA-S4</v>
          </cell>
          <cell r="B775" t="str">
            <v>VAR_fout</v>
          </cell>
          <cell r="C775" t="str">
            <v>CO2_T</v>
          </cell>
        </row>
        <row r="776">
          <cell r="A776" t="str">
            <v>T_B_u-ICENGA-S4</v>
          </cell>
          <cell r="B776" t="str">
            <v>VAR_fout</v>
          </cell>
          <cell r="C776" t="str">
            <v>TPBSu</v>
          </cell>
        </row>
        <row r="777">
          <cell r="A777" t="str">
            <v>T_B_u-ICENGA-S4</v>
          </cell>
          <cell r="B777" t="str">
            <v>VAR_fin</v>
          </cell>
          <cell r="C777" t="str">
            <v>TNGA</v>
          </cell>
        </row>
        <row r="778">
          <cell r="A778" t="str">
            <v>T_B_u-ICENGA-S4</v>
          </cell>
          <cell r="B778" t="str">
            <v>VAR_ncap</v>
          </cell>
          <cell r="C778" t="str">
            <v>-</v>
          </cell>
        </row>
        <row r="779">
          <cell r="A779" t="str">
            <v>T_B_u-ICENGA-S4</v>
          </cell>
          <cell r="B779" t="str">
            <v>VAR_cap</v>
          </cell>
          <cell r="C779" t="str">
            <v>-</v>
          </cell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76.268908419035768</v>
          </cell>
          <cell r="G9">
            <v>92.33304548698284</v>
          </cell>
          <cell r="H9">
            <v>98.626308612053421</v>
          </cell>
        </row>
        <row r="28">
          <cell r="F28">
            <v>0</v>
          </cell>
          <cell r="G28">
            <v>4.4003824955617466E-3</v>
          </cell>
          <cell r="H28">
            <v>2.0772878219816677E-2</v>
          </cell>
        </row>
      </sheetData>
      <sheetData sheetId="56"/>
      <sheetData sheetId="57"/>
      <sheetData sheetId="58">
        <row r="14">
          <cell r="F14">
            <v>62.88231465556791</v>
          </cell>
          <cell r="G14">
            <v>62.88231873374778</v>
          </cell>
          <cell r="H14">
            <v>91.024219447841602</v>
          </cell>
        </row>
        <row r="15">
          <cell r="F15">
            <v>71.582529759456136</v>
          </cell>
          <cell r="G15">
            <v>72.666766131941159</v>
          </cell>
          <cell r="H15">
            <v>74.835911068843586</v>
          </cell>
        </row>
        <row r="16">
          <cell r="F16">
            <v>63.734799571754991</v>
          </cell>
          <cell r="G16">
            <v>62.650564855208074</v>
          </cell>
          <cell r="H16">
            <v>60.481420553458335</v>
          </cell>
        </row>
        <row r="17">
          <cell r="F17">
            <v>12.775351882904614</v>
          </cell>
          <cell r="G17">
            <v>12.80592657060607</v>
          </cell>
          <cell r="H17">
            <v>12.867169858651287</v>
          </cell>
        </row>
        <row r="18">
          <cell r="F18">
            <v>3.3539793274130469E-4</v>
          </cell>
          <cell r="G18">
            <v>1.996380093038928E-3</v>
          </cell>
          <cell r="H18">
            <v>2.5616486711682323E-5</v>
          </cell>
        </row>
        <row r="19">
          <cell r="F19">
            <v>7.4918605790658646</v>
          </cell>
          <cell r="G19">
            <v>4.9245441417850584</v>
          </cell>
          <cell r="H19">
            <v>1.0447478733832142E-3</v>
          </cell>
        </row>
        <row r="20">
          <cell r="F20">
            <v>0</v>
          </cell>
          <cell r="G20">
            <v>2.9284170516523851</v>
          </cell>
          <cell r="H20">
            <v>8.471419377783219</v>
          </cell>
        </row>
        <row r="21">
          <cell r="F21">
            <v>0</v>
          </cell>
          <cell r="G21">
            <v>4.5695460708219943E-6</v>
          </cell>
          <cell r="H21">
            <v>2.7255800190694704E-3</v>
          </cell>
        </row>
        <row r="22">
          <cell r="F22">
            <v>0</v>
          </cell>
          <cell r="G22">
            <v>1.19051821600124E-8</v>
          </cell>
          <cell r="H22">
            <v>1.3816196104283317E-3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0.94227683851524147</v>
          </cell>
          <cell r="G25">
            <v>1.2525393995743976</v>
          </cell>
          <cell r="H25">
            <v>1.9388954768530299E-3</v>
          </cell>
        </row>
        <row r="26">
          <cell r="F26">
            <v>1.4346820530006466</v>
          </cell>
          <cell r="G26">
            <v>0.92843965969162356</v>
          </cell>
          <cell r="H26">
            <v>0.14528595094447128</v>
          </cell>
        </row>
        <row r="27">
          <cell r="F27">
            <v>0</v>
          </cell>
          <cell r="G27">
            <v>0.48984756184565481</v>
          </cell>
          <cell r="H27">
            <v>1.3567478406324747</v>
          </cell>
        </row>
        <row r="28">
          <cell r="F28">
            <v>1.4175635901808335E-4</v>
          </cell>
          <cell r="G28">
            <v>0.169538866501178</v>
          </cell>
          <cell r="H28">
            <v>6.2654808391256726E-6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4.6289290645330175E-2</v>
          </cell>
          <cell r="H30">
            <v>4.6294636288881509E-2</v>
          </cell>
        </row>
        <row r="31">
          <cell r="F31">
            <v>0</v>
          </cell>
          <cell r="G31">
            <v>3.5988073234330316E-4</v>
          </cell>
          <cell r="H31">
            <v>2.9187171077320366</v>
          </cell>
        </row>
        <row r="32">
          <cell r="F32">
            <v>0</v>
          </cell>
          <cell r="G32">
            <v>6.48242355624856E-4</v>
          </cell>
          <cell r="H32">
            <v>3.1040457768690697E-3</v>
          </cell>
        </row>
        <row r="33">
          <cell r="F33">
            <v>0.88003344024312191</v>
          </cell>
          <cell r="G33">
            <v>0.88004543002501978</v>
          </cell>
          <cell r="H33">
            <v>0.8800469901406538</v>
          </cell>
        </row>
        <row r="34">
          <cell r="F34">
            <v>1.3197382786811827</v>
          </cell>
          <cell r="G34">
            <v>2.5162423158189418</v>
          </cell>
          <cell r="H34">
            <v>2.0798433999240529</v>
          </cell>
        </row>
        <row r="35">
          <cell r="F35">
            <v>20.470652173476445</v>
          </cell>
          <cell r="G35">
            <v>21.514862902360804</v>
          </cell>
          <cell r="H35">
            <v>23.765793951229259</v>
          </cell>
        </row>
        <row r="36">
          <cell r="F36">
            <v>11.801960495882243</v>
          </cell>
          <cell r="G36">
            <v>12.452153337978361</v>
          </cell>
          <cell r="H36">
            <v>13.862943956130019</v>
          </cell>
        </row>
        <row r="37">
          <cell r="F37">
            <v>1.7198217935533948</v>
          </cell>
          <cell r="G37">
            <v>1.8075521949140552</v>
          </cell>
          <cell r="H37">
            <v>1.9966627922758395</v>
          </cell>
        </row>
        <row r="38">
          <cell r="F38">
            <v>18.815542999226739</v>
          </cell>
          <cell r="G38">
            <v>19.775325542191307</v>
          </cell>
          <cell r="H38">
            <v>21.844262445342725</v>
          </cell>
        </row>
        <row r="39">
          <cell r="F39">
            <v>9.6365523902155137E-2</v>
          </cell>
          <cell r="G39">
            <v>0.59944437048296584</v>
          </cell>
          <cell r="H39">
            <v>0.11907357390308206</v>
          </cell>
        </row>
        <row r="40">
          <cell r="F40">
            <v>0</v>
          </cell>
          <cell r="G40">
            <v>6.9241538316038312E-2</v>
          </cell>
          <cell r="H40">
            <v>6.8857338469117166E-2</v>
          </cell>
        </row>
        <row r="41">
          <cell r="F41">
            <v>0.17105557250232589</v>
          </cell>
          <cell r="G41">
            <v>0</v>
          </cell>
          <cell r="H41">
            <v>0</v>
          </cell>
        </row>
        <row r="42">
          <cell r="F42">
            <v>2.7633590538611954</v>
          </cell>
          <cell r="G42">
            <v>2.4535029246955999</v>
          </cell>
          <cell r="H42">
            <v>0.8961547181982914</v>
          </cell>
        </row>
        <row r="43">
          <cell r="F43">
            <v>0</v>
          </cell>
          <cell r="G43">
            <v>0.7212048323409358</v>
          </cell>
          <cell r="H43">
            <v>2.0656830984743868</v>
          </cell>
        </row>
        <row r="44">
          <cell r="F44">
            <v>5.9988151124416161E-4</v>
          </cell>
          <cell r="G44">
            <v>3.1414149673139212E-3</v>
          </cell>
          <cell r="H44">
            <v>1.2514671807831155E-4</v>
          </cell>
        </row>
        <row r="45">
          <cell r="F45">
            <v>0</v>
          </cell>
          <cell r="G45">
            <v>5.1692701304681104E-3</v>
          </cell>
          <cell r="H45">
            <v>0.29167032876888982</v>
          </cell>
        </row>
        <row r="46">
          <cell r="F46">
            <v>3.536338801991118E-3</v>
          </cell>
          <cell r="G46">
            <v>0.19097251359819115</v>
          </cell>
          <cell r="H46">
            <v>0.21355519650428328</v>
          </cell>
        </row>
        <row r="47">
          <cell r="F47">
            <v>4.6362275584475485E-4</v>
          </cell>
          <cell r="G47">
            <v>1.2917531580356144E-3</v>
          </cell>
          <cell r="H47">
            <v>8.2240145944858644E-4</v>
          </cell>
        </row>
        <row r="48">
          <cell r="F48">
            <v>2.7772049432799123E-2</v>
          </cell>
          <cell r="G48">
            <v>1.3539356329734355E-2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2.058178836852817E-3</v>
          </cell>
          <cell r="G50">
            <v>2.1312262384973911E-3</v>
          </cell>
          <cell r="H50">
            <v>7.8318699697630192E-4</v>
          </cell>
        </row>
        <row r="51">
          <cell r="F51">
            <v>0.28995037339711227</v>
          </cell>
          <cell r="G51">
            <v>0.13216501816903353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0.11279774920870153</v>
          </cell>
          <cell r="G53">
            <v>0.11180033732318043</v>
          </cell>
          <cell r="H53">
            <v>3.1430194755745515E-3</v>
          </cell>
        </row>
        <row r="54">
          <cell r="F54">
            <v>1.105942244452869</v>
          </cell>
          <cell r="G54">
            <v>1.1059419488828197</v>
          </cell>
          <cell r="H54">
            <v>1.1059418032682184</v>
          </cell>
        </row>
        <row r="55">
          <cell r="F55">
            <v>0.18357835793130681</v>
          </cell>
          <cell r="G55">
            <v>0.24044837524622845</v>
          </cell>
          <cell r="H55">
            <v>0</v>
          </cell>
        </row>
        <row r="56">
          <cell r="F56">
            <v>5.7568779309339767E-4</v>
          </cell>
          <cell r="G56">
            <v>7.4671543463277574E-4</v>
          </cell>
          <cell r="H56">
            <v>3.4285048923564398E-4</v>
          </cell>
        </row>
        <row r="57">
          <cell r="F57">
            <v>9.5548782421776574E-4</v>
          </cell>
          <cell r="G57">
            <v>2.6359051309088485E-2</v>
          </cell>
          <cell r="H57">
            <v>1.6537553864413596E-2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6.8305856623667588E-3</v>
          </cell>
          <cell r="G70">
            <v>1.5014752676638416E-3</v>
          </cell>
          <cell r="H70">
            <v>7.6263387712625752E-2</v>
          </cell>
        </row>
        <row r="71">
          <cell r="F71">
            <v>2.4030726740686216E-2</v>
          </cell>
          <cell r="G71">
            <v>2.4045462285921616E-2</v>
          </cell>
          <cell r="H71">
            <v>5.8149442735023482E-2</v>
          </cell>
        </row>
        <row r="72">
          <cell r="F72">
            <v>3.7708507291394522E-2</v>
          </cell>
          <cell r="G72">
            <v>3.6502886778297071E-2</v>
          </cell>
          <cell r="H72">
            <v>0.13611507311115018</v>
          </cell>
        </row>
        <row r="73">
          <cell r="F73">
            <v>0.19715844693140219</v>
          </cell>
          <cell r="G73">
            <v>9.6049121301586118E-2</v>
          </cell>
          <cell r="H73">
            <v>0.39491051157750234</v>
          </cell>
        </row>
        <row r="74">
          <cell r="F74">
            <v>0.50730755588708643</v>
          </cell>
          <cell r="G74">
            <v>0.16915827504376346</v>
          </cell>
          <cell r="H74">
            <v>1.1728592493688414</v>
          </cell>
        </row>
        <row r="75">
          <cell r="F75">
            <v>3.8014239799800675E-2</v>
          </cell>
          <cell r="G75">
            <v>1.8759217228321488E-2</v>
          </cell>
          <cell r="H75">
            <v>5.8538590393560422E-2</v>
          </cell>
        </row>
        <row r="76">
          <cell r="F76">
            <v>0.42854702178212756</v>
          </cell>
          <cell r="G76">
            <v>0.17611372476621115</v>
          </cell>
          <cell r="H76">
            <v>0.72593640309823126</v>
          </cell>
        </row>
        <row r="90">
          <cell r="F90">
            <v>0</v>
          </cell>
          <cell r="G90">
            <v>6.6951772686630028E-5</v>
          </cell>
          <cell r="H90">
            <v>6.7353751252782168E-5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2.46425739823475</v>
          </cell>
          <cell r="G92">
            <v>3.2756561427098201</v>
          </cell>
          <cell r="H92">
            <v>0.50171153833005522</v>
          </cell>
        </row>
        <row r="93">
          <cell r="F93">
            <v>12.342948759407433</v>
          </cell>
          <cell r="G93">
            <v>11.911503939634361</v>
          </cell>
          <cell r="H93">
            <v>12.021754371135573</v>
          </cell>
        </row>
        <row r="94">
          <cell r="F94">
            <v>7.2903270352157174E-4</v>
          </cell>
          <cell r="G94">
            <v>0.87191417057748766</v>
          </cell>
          <cell r="H94">
            <v>3.2222472886932003E-5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5.6208424355043501E-2</v>
          </cell>
          <cell r="H96">
            <v>5.8419421983588425E-2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0.90177641526792618</v>
          </cell>
          <cell r="G98">
            <v>0.90177751669750073</v>
          </cell>
          <cell r="H98">
            <v>0.90177042358627579</v>
          </cell>
        </row>
        <row r="99">
          <cell r="F99">
            <v>1.7126182385964832</v>
          </cell>
          <cell r="G99">
            <v>1.7126048980392461</v>
          </cell>
          <cell r="H99">
            <v>6.0501198931863236</v>
          </cell>
        </row>
        <row r="100">
          <cell r="F100">
            <v>0.16952755798380129</v>
          </cell>
          <cell r="G100">
            <v>1.3701843477911997E-4</v>
          </cell>
          <cell r="H100">
            <v>2.1984625640259272E-6</v>
          </cell>
        </row>
        <row r="101">
          <cell r="F101">
            <v>1.594930238078538</v>
          </cell>
          <cell r="G101">
            <v>1.2345632210658068</v>
          </cell>
          <cell r="H101">
            <v>0.7391807550665167</v>
          </cell>
        </row>
        <row r="102">
          <cell r="F102">
            <v>3.4912434833593144E-5</v>
          </cell>
          <cell r="G102">
            <v>3.5017901579064823E-5</v>
          </cell>
          <cell r="H102">
            <v>3.5144497886808402E-5</v>
          </cell>
        </row>
        <row r="103">
          <cell r="F103">
            <v>0.15683406071291772</v>
          </cell>
          <cell r="G103">
            <v>0.757359074616759</v>
          </cell>
          <cell r="H103">
            <v>0.20771311367453657</v>
          </cell>
        </row>
        <row r="104">
          <cell r="F104">
            <v>0.84809259071704668</v>
          </cell>
          <cell r="G104">
            <v>0</v>
          </cell>
          <cell r="H104">
            <v>0</v>
          </cell>
        </row>
        <row r="105">
          <cell r="F105">
            <v>5.8455672293217704</v>
          </cell>
          <cell r="G105">
            <v>6.7157279475772897</v>
          </cell>
          <cell r="H105">
            <v>6.2654261506537594</v>
          </cell>
        </row>
        <row r="106">
          <cell r="F106">
            <v>3.5401615976331049E-3</v>
          </cell>
          <cell r="G106">
            <v>4.2093943578625281E-2</v>
          </cell>
          <cell r="H106">
            <v>0.98984241215934698</v>
          </cell>
        </row>
        <row r="107">
          <cell r="F107">
            <v>2.2011447353179867E-4</v>
          </cell>
          <cell r="G107">
            <v>5.8069637379582677E-4</v>
          </cell>
          <cell r="H107">
            <v>3.3184620293539527E-4</v>
          </cell>
        </row>
        <row r="108">
          <cell r="F108">
            <v>2.3825636170990675E-3</v>
          </cell>
          <cell r="G108">
            <v>0.11458350815891469</v>
          </cell>
          <cell r="H108">
            <v>0.1067775982521417</v>
          </cell>
        </row>
        <row r="109">
          <cell r="F109">
            <v>6.2922137060778011E-2</v>
          </cell>
          <cell r="G109">
            <v>3.0404168600105235E-2</v>
          </cell>
          <cell r="H109">
            <v>0</v>
          </cell>
        </row>
        <row r="110">
          <cell r="F110">
            <v>5.4413959768028382E-3</v>
          </cell>
          <cell r="G110">
            <v>5.5156463961112271E-3</v>
          </cell>
          <cell r="H110">
            <v>1.9464674939061464E-3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0.59194240164569012</v>
          </cell>
          <cell r="G112">
            <v>0.26649667598018245</v>
          </cell>
          <cell r="H112">
            <v>0</v>
          </cell>
        </row>
        <row r="113">
          <cell r="F113">
            <v>0.30005312597388589</v>
          </cell>
          <cell r="G113">
            <v>0.29739991209121919</v>
          </cell>
          <cell r="H113">
            <v>8.360741462119502E-3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1.164913730188798</v>
          </cell>
          <cell r="G115">
            <v>1.0059103798940845</v>
          </cell>
          <cell r="H115">
            <v>1.0059102474502084</v>
          </cell>
        </row>
        <row r="116">
          <cell r="F116">
            <v>0.26000078176986507</v>
          </cell>
          <cell r="G116">
            <v>0.36067256286934257</v>
          </cell>
          <cell r="H116">
            <v>0</v>
          </cell>
        </row>
        <row r="117">
          <cell r="F117">
            <v>9.0021746996661036E-4</v>
          </cell>
          <cell r="G117">
            <v>1.1419383588196458E-3</v>
          </cell>
          <cell r="H117">
            <v>5.0350887735653362E-4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6.6036687734192774E-4</v>
          </cell>
          <cell r="G119">
            <v>1.6596439713129782E-2</v>
          </cell>
          <cell r="H119">
            <v>9.3473130537990012E-3</v>
          </cell>
        </row>
        <row r="123">
          <cell r="F123">
            <v>9.443985380236283</v>
          </cell>
          <cell r="G123">
            <v>9.9257235177832666</v>
          </cell>
          <cell r="H123">
            <v>10.964172633201748</v>
          </cell>
        </row>
      </sheetData>
      <sheetData sheetId="59">
        <row r="13">
          <cell r="F13">
            <v>15.96918955135825</v>
          </cell>
          <cell r="G13">
            <v>16.00740791327976</v>
          </cell>
          <cell r="H13">
            <v>16.083961931275677</v>
          </cell>
        </row>
        <row r="14">
          <cell r="F14">
            <v>190.50116506642999</v>
          </cell>
          <cell r="G14">
            <v>190.50117069540974</v>
          </cell>
          <cell r="H14">
            <v>285.77954994924227</v>
          </cell>
        </row>
        <row r="15">
          <cell r="F15">
            <v>71.582529759456136</v>
          </cell>
          <cell r="G15">
            <v>72.666766131941159</v>
          </cell>
          <cell r="H15">
            <v>74.835911068843586</v>
          </cell>
        </row>
        <row r="16">
          <cell r="F16">
            <v>63.734799571754991</v>
          </cell>
          <cell r="G16">
            <v>62.650564855208074</v>
          </cell>
          <cell r="H16">
            <v>60.481420553458335</v>
          </cell>
        </row>
        <row r="18">
          <cell r="F18">
            <v>1.118047299445522E-3</v>
          </cell>
          <cell r="G18">
            <v>6.658144640283587E-3</v>
          </cell>
          <cell r="H18">
            <v>8.0993969684874255E-5</v>
          </cell>
        </row>
        <row r="19">
          <cell r="F19">
            <v>20.958776994704898</v>
          </cell>
          <cell r="G19">
            <v>13.77660747674015</v>
          </cell>
          <cell r="H19">
            <v>2.9227235962072861E-3</v>
          </cell>
        </row>
        <row r="20">
          <cell r="F20">
            <v>0</v>
          </cell>
          <cell r="G20">
            <v>8.7491593008917192</v>
          </cell>
          <cell r="H20">
            <v>24.813578875339331</v>
          </cell>
        </row>
        <row r="21">
          <cell r="F21">
            <v>0</v>
          </cell>
          <cell r="G21">
            <v>8.3277305446995702E-6</v>
          </cell>
          <cell r="H21">
            <v>4.7502178916770492E-3</v>
          </cell>
        </row>
        <row r="22">
          <cell r="F22">
            <v>0</v>
          </cell>
          <cell r="G22">
            <v>6.5415200367405671E-6</v>
          </cell>
          <cell r="H22">
            <v>3.5547750926827881E-3</v>
          </cell>
          <cell r="P22">
            <v>0.49480136683517051</v>
          </cell>
          <cell r="Q22">
            <v>0.71900499227539094</v>
          </cell>
          <cell r="R22">
            <v>2.78156569072223E-5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1.535644967902559E-2</v>
          </cell>
          <cell r="Q23">
            <v>0.16743495814478851</v>
          </cell>
          <cell r="R23">
            <v>0.20719262324989851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3.2419380454836797</v>
          </cell>
          <cell r="G25">
            <v>4.0942825082541976</v>
          </cell>
          <cell r="H25">
            <v>6.7647186886865543E-3</v>
          </cell>
        </row>
        <row r="26">
          <cell r="F26">
            <v>40.637364038645906</v>
          </cell>
          <cell r="G26">
            <v>29.436776478737748</v>
          </cell>
          <cell r="H26">
            <v>12.483377027517006</v>
          </cell>
        </row>
        <row r="27">
          <cell r="F27">
            <v>0</v>
          </cell>
          <cell r="G27">
            <v>10.153785753355448</v>
          </cell>
          <cell r="H27">
            <v>25.124960011712503</v>
          </cell>
        </row>
        <row r="28">
          <cell r="F28">
            <v>1.372198097592502E-3</v>
          </cell>
          <cell r="G28">
            <v>1.4590672469795285</v>
          </cell>
          <cell r="H28">
            <v>6.0482920081879956E-5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0.11021259677459566</v>
          </cell>
          <cell r="H30">
            <v>0.11022532449733698</v>
          </cell>
        </row>
        <row r="31">
          <cell r="F31">
            <v>0</v>
          </cell>
          <cell r="G31">
            <v>1.8415708492160198E-3</v>
          </cell>
          <cell r="H31">
            <v>10.993274925404885</v>
          </cell>
        </row>
        <row r="32">
          <cell r="F32">
            <v>0</v>
          </cell>
          <cell r="G32">
            <v>4.321615704165711E-3</v>
          </cell>
          <cell r="H32">
            <v>2.0693638512460463E-2</v>
          </cell>
        </row>
        <row r="33">
          <cell r="F33">
            <v>0.88003344024312191</v>
          </cell>
          <cell r="G33">
            <v>0.88004543002501978</v>
          </cell>
          <cell r="H33">
            <v>0.8800469901406538</v>
          </cell>
        </row>
        <row r="34">
          <cell r="F34">
            <v>1.3197382786811827</v>
          </cell>
          <cell r="G34">
            <v>2.5162423158189418</v>
          </cell>
          <cell r="H34">
            <v>2.0798433999240529</v>
          </cell>
        </row>
        <row r="35">
          <cell r="F35">
            <v>20.470652173476445</v>
          </cell>
          <cell r="G35">
            <v>21.514862902360804</v>
          </cell>
          <cell r="H35">
            <v>23.765793951229259</v>
          </cell>
        </row>
        <row r="36">
          <cell r="F36">
            <v>11.801960495882243</v>
          </cell>
          <cell r="G36">
            <v>12.452153337978361</v>
          </cell>
          <cell r="H36">
            <v>13.862943956130019</v>
          </cell>
        </row>
        <row r="37">
          <cell r="F37">
            <v>1.7198217935533948</v>
          </cell>
          <cell r="G37">
            <v>1.8075521949140552</v>
          </cell>
          <cell r="H37">
            <v>1.9966627922758395</v>
          </cell>
        </row>
        <row r="38">
          <cell r="F38">
            <v>18.815542999226739</v>
          </cell>
          <cell r="G38">
            <v>19.775325542191307</v>
          </cell>
          <cell r="H38">
            <v>21.844262445342725</v>
          </cell>
        </row>
        <row r="39">
          <cell r="F39">
            <v>0.26786575551618891</v>
          </cell>
          <cell r="G39">
            <v>1.8824976989646347</v>
          </cell>
          <cell r="H39">
            <v>0.54619447871879712</v>
          </cell>
        </row>
        <row r="40">
          <cell r="F40">
            <v>0</v>
          </cell>
          <cell r="G40">
            <v>0.21446698581582804</v>
          </cell>
          <cell r="H40">
            <v>0.21294536084336191</v>
          </cell>
        </row>
        <row r="41">
          <cell r="F41">
            <v>0.64951658516839472</v>
          </cell>
          <cell r="G41">
            <v>0</v>
          </cell>
          <cell r="H41">
            <v>0</v>
          </cell>
        </row>
        <row r="42">
          <cell r="F42">
            <v>7.9917024941609682</v>
          </cell>
          <cell r="G42">
            <v>6.9538926952986406</v>
          </cell>
          <cell r="H42">
            <v>2.4378169810937047</v>
          </cell>
        </row>
        <row r="43">
          <cell r="F43">
            <v>0</v>
          </cell>
          <cell r="G43">
            <v>2.1501833119913032</v>
          </cell>
          <cell r="H43">
            <v>5.9178004077908941</v>
          </cell>
        </row>
        <row r="44">
          <cell r="F44">
            <v>9.6797781884797249E-3</v>
          </cell>
          <cell r="G44">
            <v>5.0690343862243845E-2</v>
          </cell>
          <cell r="H44">
            <v>2.0193862442965073E-3</v>
          </cell>
        </row>
        <row r="45">
          <cell r="F45">
            <v>0</v>
          </cell>
          <cell r="G45">
            <v>9.2680132699107576E-2</v>
          </cell>
          <cell r="H45">
            <v>5.2293736044792629</v>
          </cell>
        </row>
        <row r="46">
          <cell r="F46">
            <v>6.7681125396959153E-3</v>
          </cell>
          <cell r="G46">
            <v>0.34722275199671115</v>
          </cell>
          <cell r="H46">
            <v>0.35592532750713846</v>
          </cell>
        </row>
        <row r="47">
          <cell r="B47">
            <v>0</v>
          </cell>
        </row>
        <row r="48">
          <cell r="F48">
            <v>0.10098109797619739</v>
          </cell>
          <cell r="G48">
            <v>4.9941092249430726E-2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8.7805147160921661E-3</v>
          </cell>
          <cell r="G50">
            <v>9.0522720675611824E-3</v>
          </cell>
          <cell r="H50">
            <v>3.779687034323089E-3</v>
          </cell>
        </row>
        <row r="51">
          <cell r="F51">
            <v>0.96269905361088559</v>
          </cell>
          <cell r="G51">
            <v>0.43682072016488754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0.41974772438578911</v>
          </cell>
          <cell r="G53">
            <v>0.40854138908340842</v>
          </cell>
          <cell r="H53">
            <v>1.1816473824857295E-2</v>
          </cell>
        </row>
        <row r="54">
          <cell r="F54">
            <v>2.9902820040172191</v>
          </cell>
          <cell r="G54">
            <v>2.9557921181245734</v>
          </cell>
          <cell r="H54">
            <v>2.8715708729096066</v>
          </cell>
        </row>
        <row r="55">
          <cell r="F55">
            <v>0.51188874782597227</v>
          </cell>
          <cell r="G55">
            <v>0.66977781390458935</v>
          </cell>
          <cell r="H55">
            <v>0</v>
          </cell>
        </row>
        <row r="56">
          <cell r="F56">
            <v>1.9870203667796743E-3</v>
          </cell>
          <cell r="G56">
            <v>2.4874847350009766E-3</v>
          </cell>
          <cell r="H56">
            <v>1.3508504637929661E-3</v>
          </cell>
        </row>
        <row r="57">
          <cell r="F57">
            <v>1.8827446801513738E-3</v>
          </cell>
          <cell r="G57">
            <v>4.8813057979793489E-2</v>
          </cell>
          <cell r="H57">
            <v>2.8760973538131385E-2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9.7586653177973489E-3</v>
          </cell>
          <cell r="G63">
            <v>2.1454938022974612E-3</v>
          </cell>
          <cell r="H63">
            <v>0.10894815698677168</v>
          </cell>
        </row>
        <row r="64">
          <cell r="F64">
            <v>2.7716083908769142E-2</v>
          </cell>
          <cell r="G64">
            <v>2.7733003857383778E-2</v>
          </cell>
          <cell r="H64">
            <v>6.7066813626352445E-2</v>
          </cell>
        </row>
        <row r="65">
          <cell r="F65">
            <v>4.2167082169166925E-2</v>
          </cell>
          <cell r="G65">
            <v>4.0818753053218859E-2</v>
          </cell>
          <cell r="H65">
            <v>0.15220820281891334</v>
          </cell>
        </row>
        <row r="66">
          <cell r="F66">
            <v>0.21803085821541959</v>
          </cell>
          <cell r="G66">
            <v>0.10621754452417241</v>
          </cell>
          <cell r="H66">
            <v>0.43671779040537562</v>
          </cell>
        </row>
        <row r="67">
          <cell r="F67">
            <v>0.56101411188109807</v>
          </cell>
          <cell r="G67">
            <v>0.18706657502379759</v>
          </cell>
          <cell r="H67">
            <v>1.2970240739159755</v>
          </cell>
        </row>
        <row r="68">
          <cell r="F68">
            <v>4.2039154452289798E-2</v>
          </cell>
          <cell r="G68">
            <v>2.0745556079356235E-2</v>
          </cell>
          <cell r="H68">
            <v>6.4736085330588139E-2</v>
          </cell>
        </row>
        <row r="69">
          <cell r="F69">
            <v>0.47391533742313091</v>
          </cell>
          <cell r="G69">
            <v>0.1947581746084924</v>
          </cell>
          <cell r="H69">
            <v>0.80278767134562656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1.1839527822887959</v>
          </cell>
          <cell r="G91">
            <v>1.1839542283685418</v>
          </cell>
          <cell r="H91">
            <v>1.1839449157400155</v>
          </cell>
        </row>
        <row r="92">
          <cell r="F92">
            <v>0.85630911929824161</v>
          </cell>
          <cell r="G92">
            <v>0.85630244901962305</v>
          </cell>
          <cell r="H92">
            <v>0.26172965173491508</v>
          </cell>
        </row>
        <row r="93">
          <cell r="F93">
            <v>0.19840431126187638</v>
          </cell>
          <cell r="G93">
            <v>1.6035769349741501E-4</v>
          </cell>
          <cell r="H93">
            <v>2.5729412730186386E-6</v>
          </cell>
        </row>
        <row r="94">
          <cell r="F94">
            <v>2.2784717686836262</v>
          </cell>
          <cell r="G94">
            <v>1.7636617443797236</v>
          </cell>
          <cell r="H94">
            <v>1.0559725072378818</v>
          </cell>
        </row>
        <row r="95">
          <cell r="F95">
            <v>6.9824869667186234E-5</v>
          </cell>
          <cell r="G95">
            <v>7.0035803158129633E-5</v>
          </cell>
          <cell r="H95">
            <v>7.0288995773616804E-5</v>
          </cell>
        </row>
        <row r="96">
          <cell r="F96">
            <v>0</v>
          </cell>
          <cell r="G96">
            <v>7.8766791396035345E-5</v>
          </cell>
          <cell r="H96">
            <v>7.9239707356214351E-5</v>
          </cell>
        </row>
        <row r="97">
          <cell r="F97">
            <v>3.1479951267454265</v>
          </cell>
          <cell r="G97">
            <v>3.3085745059277571</v>
          </cell>
          <cell r="H97">
            <v>3.6547242110672462</v>
          </cell>
        </row>
      </sheetData>
      <sheetData sheetId="60">
        <row r="14">
          <cell r="F14">
            <v>2.3634664470881357</v>
          </cell>
          <cell r="G14">
            <v>2.36346646375977</v>
          </cell>
          <cell r="H14">
            <v>3.6720167513992212</v>
          </cell>
        </row>
        <row r="15">
          <cell r="F15">
            <v>7.4298012487284346</v>
          </cell>
          <cell r="G15">
            <v>7.4694642610342639</v>
          </cell>
          <cell r="H15">
            <v>7.68837871003067</v>
          </cell>
        </row>
        <row r="16">
          <cell r="F16">
            <v>4.8964504093748591</v>
          </cell>
          <cell r="G16">
            <v>4.8964506056881376</v>
          </cell>
          <cell r="H16">
            <v>4.8964513522582127</v>
          </cell>
        </row>
        <row r="17">
          <cell r="F17">
            <v>4.3596036736556432</v>
          </cell>
          <cell r="G17">
            <v>4.3596037199393205</v>
          </cell>
          <cell r="H17">
            <v>4.3596038982578484</v>
          </cell>
        </row>
        <row r="18">
          <cell r="F18">
            <v>4.3503509462158932E-2</v>
          </cell>
          <cell r="G18">
            <v>4.384809763961902E-2</v>
          </cell>
          <cell r="H18">
            <v>2.0031351459988543E-2</v>
          </cell>
        </row>
        <row r="19">
          <cell r="F19">
            <v>0.279488695756965</v>
          </cell>
          <cell r="G19">
            <v>0.196645598435395</v>
          </cell>
          <cell r="H19">
            <v>6.4374461053701149E-5</v>
          </cell>
        </row>
        <row r="20">
          <cell r="F20">
            <v>0</v>
          </cell>
          <cell r="G20">
            <v>0.116047896623186</v>
          </cell>
          <cell r="H20">
            <v>0.31603159595096608</v>
          </cell>
        </row>
        <row r="21">
          <cell r="F21">
            <v>0</v>
          </cell>
          <cell r="G21">
            <v>1.39377853434336E-6</v>
          </cell>
          <cell r="H21">
            <v>2.6875166732897264E-4</v>
          </cell>
        </row>
        <row r="22">
          <cell r="F22">
            <v>2.5646345857049799E-4</v>
          </cell>
          <cell r="G22">
            <v>1.0655506951790753E-3</v>
          </cell>
          <cell r="H22">
            <v>1.0676289423144089E-3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-2.2372239470627026E-7</v>
          </cell>
          <cell r="G24">
            <v>0</v>
          </cell>
          <cell r="H24">
            <v>0</v>
          </cell>
        </row>
        <row r="25">
          <cell r="F25">
            <v>3.6754673172566296E-2</v>
          </cell>
          <cell r="G25">
            <v>5.0880926579205614E-2</v>
          </cell>
          <cell r="H25">
            <v>2.3817935924179759E-4</v>
          </cell>
        </row>
        <row r="26">
          <cell r="F26">
            <v>6.9925846736777666E-2</v>
          </cell>
          <cell r="G26">
            <v>4.8460477956265367E-2</v>
          </cell>
          <cell r="H26">
            <v>2.9032821848587465E-5</v>
          </cell>
        </row>
        <row r="27">
          <cell r="F27">
            <v>0</v>
          </cell>
          <cell r="G27">
            <v>2.6763286369221099E-2</v>
          </cell>
          <cell r="H27">
            <v>7.4126842088887299E-2</v>
          </cell>
        </row>
        <row r="28">
          <cell r="F28">
            <v>1.0819915302612377E-3</v>
          </cell>
          <cell r="G28">
            <v>1.6103250364480019E-2</v>
          </cell>
          <cell r="H28">
            <v>2.6354263041470163E-4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5.9119312509369297E-3</v>
          </cell>
          <cell r="H30">
            <v>5.8108648846960237E-3</v>
          </cell>
        </row>
        <row r="31">
          <cell r="F31">
            <v>0</v>
          </cell>
          <cell r="G31">
            <v>5.0868958018812902E-5</v>
          </cell>
          <cell r="H31">
            <v>0.11337507542843309</v>
          </cell>
        </row>
        <row r="32">
          <cell r="F32">
            <v>0</v>
          </cell>
          <cell r="G32">
            <v>2.5724258741765199E-5</v>
          </cell>
          <cell r="H32">
            <v>1.6427454996630446E-4</v>
          </cell>
        </row>
        <row r="33">
          <cell r="F33">
            <v>0.1463140263936088</v>
          </cell>
          <cell r="G33">
            <v>0.14631625632928169</v>
          </cell>
          <cell r="H33">
            <v>0.146316542619427</v>
          </cell>
        </row>
        <row r="34">
          <cell r="F34">
            <v>0.31491627373840886</v>
          </cell>
          <cell r="G34">
            <v>0.65983461943273525</v>
          </cell>
          <cell r="H34">
            <v>0.5473448469923784</v>
          </cell>
        </row>
        <row r="35">
          <cell r="F35">
            <v>5.9010928878556204</v>
          </cell>
          <cell r="G35">
            <v>6.2021085155878763</v>
          </cell>
          <cell r="H35">
            <v>6.85098596574095</v>
          </cell>
        </row>
        <row r="36">
          <cell r="F36">
            <v>3.4021622496047419</v>
          </cell>
          <cell r="G36">
            <v>3.5895939434431061</v>
          </cell>
          <cell r="H36">
            <v>3.99628326757214</v>
          </cell>
        </row>
        <row r="37">
          <cell r="F37">
            <v>0.49577611572949726</v>
          </cell>
          <cell r="G37">
            <v>0.52106653003368764</v>
          </cell>
          <cell r="H37">
            <v>0.57558095166121048</v>
          </cell>
        </row>
        <row r="38">
          <cell r="F38">
            <v>5.4239731559250783</v>
          </cell>
          <cell r="G38">
            <v>5.7006506144685893</v>
          </cell>
          <cell r="H38">
            <v>6.2970644733223704</v>
          </cell>
        </row>
        <row r="39">
          <cell r="F39">
            <v>2.2919783146571299E-2</v>
          </cell>
          <cell r="G39">
            <v>3.7212588043404077E-2</v>
          </cell>
          <cell r="H39">
            <v>1.7922813597581376E-2</v>
          </cell>
        </row>
        <row r="40">
          <cell r="F40">
            <v>0</v>
          </cell>
          <cell r="G40">
            <v>3.02240328817183E-3</v>
          </cell>
          <cell r="H40">
            <v>3.0224976947463861E-3</v>
          </cell>
        </row>
        <row r="41">
          <cell r="F41">
            <v>9.7060880204964672E-3</v>
          </cell>
          <cell r="G41">
            <v>0</v>
          </cell>
          <cell r="H41">
            <v>0</v>
          </cell>
        </row>
        <row r="42">
          <cell r="F42">
            <v>0.11758784877400549</v>
          </cell>
          <cell r="G42">
            <v>9.6138918445641056E-2</v>
          </cell>
          <cell r="H42">
            <v>5.3956361312250949E-2</v>
          </cell>
        </row>
        <row r="43">
          <cell r="F43">
            <v>0</v>
          </cell>
          <cell r="G43">
            <v>3.4469659714718603E-2</v>
          </cell>
          <cell r="H43">
            <v>7.6404066897947806E-2</v>
          </cell>
        </row>
        <row r="44">
          <cell r="F44">
            <v>4.2754566934974647E-3</v>
          </cell>
          <cell r="G44">
            <v>4.2749572859938174E-3</v>
          </cell>
          <cell r="H44">
            <v>3.7413154100832385E-5</v>
          </cell>
        </row>
        <row r="45">
          <cell r="F45">
            <v>0</v>
          </cell>
          <cell r="G45">
            <v>5.0510224236418797E-4</v>
          </cell>
          <cell r="H45">
            <v>2.4221560084525487E-2</v>
          </cell>
        </row>
        <row r="46">
          <cell r="F46">
            <v>8.0199955279002411E-4</v>
          </cell>
          <cell r="G46">
            <v>2.3176329241041918E-2</v>
          </cell>
          <cell r="H46">
            <v>2.2249820128122662E-2</v>
          </cell>
        </row>
        <row r="47">
          <cell r="F47">
            <v>1.0171107122529799E-4</v>
          </cell>
          <cell r="G47">
            <v>1.1520541826315961E-4</v>
          </cell>
          <cell r="H47">
            <v>7.517725150474745E-5</v>
          </cell>
        </row>
        <row r="48">
          <cell r="F48">
            <v>2.4684870481807581E-3</v>
          </cell>
          <cell r="G48">
            <v>1.2033311412865473E-3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1.8299518403207076E-4</v>
          </cell>
          <cell r="G50">
            <v>1.8945013594290751E-4</v>
          </cell>
          <cell r="H50">
            <v>6.9618149729189113E-5</v>
          </cell>
        </row>
        <row r="51">
          <cell r="F51">
            <v>2.1515013667124515E-2</v>
          </cell>
          <cell r="G51">
            <v>9.8063041055289936E-3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8.3703357356916131E-3</v>
          </cell>
          <cell r="G53">
            <v>8.2959897516593235E-3</v>
          </cell>
          <cell r="H53">
            <v>2.3365942702407018E-4</v>
          </cell>
        </row>
        <row r="54">
          <cell r="F54">
            <v>8.4744932064629491E-2</v>
          </cell>
          <cell r="G54">
            <v>8.4744712035372191E-2</v>
          </cell>
          <cell r="H54">
            <v>8.4744595351576801E-2</v>
          </cell>
        </row>
        <row r="55">
          <cell r="F55">
            <v>2.7216828290153441E-2</v>
          </cell>
          <cell r="G55">
            <v>1.4111518595188954E-2</v>
          </cell>
          <cell r="H55">
            <v>0</v>
          </cell>
        </row>
        <row r="56">
          <cell r="F56">
            <v>7.5015569433392284E-5</v>
          </cell>
          <cell r="G56">
            <v>6.837571235853652E-5</v>
          </cell>
          <cell r="H56">
            <v>3.7520078259156147E-5</v>
          </cell>
        </row>
        <row r="57">
          <cell r="F57">
            <v>9.9415935528541024E-5</v>
          </cell>
          <cell r="G57">
            <v>1.5486592837301724E-3</v>
          </cell>
          <cell r="H57">
            <v>1.0887171865965317E-3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8.0701687931357832E-2</v>
          </cell>
          <cell r="G63">
            <v>8.0701658968928891E-2</v>
          </cell>
          <cell r="H63">
            <v>8.0701785422901781E-2</v>
          </cell>
        </row>
        <row r="64">
          <cell r="F64">
            <v>1.1772488460370925E-2</v>
          </cell>
          <cell r="G64">
            <v>1.2164641718407782E-2</v>
          </cell>
          <cell r="H64">
            <v>1.342780846736855E-2</v>
          </cell>
        </row>
        <row r="65">
          <cell r="F65">
            <v>1.4914743549355099E-2</v>
          </cell>
          <cell r="G65">
            <v>2.6739834749886969E-2</v>
          </cell>
          <cell r="H65">
            <v>2.674077142267986E-2</v>
          </cell>
        </row>
        <row r="66">
          <cell r="F66">
            <v>0.12281496710949186</v>
          </cell>
          <cell r="G66">
            <v>0.13311568969491228</v>
          </cell>
          <cell r="H66">
            <v>0.16174942915642532</v>
          </cell>
        </row>
        <row r="67">
          <cell r="F67">
            <v>0.36051946241762184</v>
          </cell>
          <cell r="G67">
            <v>0.39227047628252132</v>
          </cell>
          <cell r="H67">
            <v>0.48038478055143607</v>
          </cell>
        </row>
        <row r="68">
          <cell r="F68">
            <v>1.8227934649727585E-2</v>
          </cell>
          <cell r="G68">
            <v>1.9766433857519604E-2</v>
          </cell>
          <cell r="H68">
            <v>2.3979831883294188E-2</v>
          </cell>
        </row>
        <row r="69">
          <cell r="F69">
            <v>0.22576887198044562</v>
          </cell>
          <cell r="G69">
            <v>0.24470083269907481</v>
          </cell>
          <cell r="H69">
            <v>0.2973312976722664</v>
          </cell>
        </row>
      </sheetData>
      <sheetData sheetId="61">
        <row r="14">
          <cell r="F14">
            <v>0</v>
          </cell>
          <cell r="G14">
            <v>1.4859431010806485</v>
          </cell>
          <cell r="H14">
            <v>6.6203887744205892</v>
          </cell>
        </row>
        <row r="15">
          <cell r="F15">
            <v>2.0603476234294081E-7</v>
          </cell>
          <cell r="G15">
            <v>4.2882391946392098E-7</v>
          </cell>
          <cell r="H15">
            <v>1.0776529379669622</v>
          </cell>
        </row>
        <row r="16">
          <cell r="F16">
            <v>3.6562719445294911E-3</v>
          </cell>
          <cell r="G16">
            <v>2.35200221785179E-7</v>
          </cell>
          <cell r="H16">
            <v>8.1107578913217452E-7</v>
          </cell>
        </row>
        <row r="17">
          <cell r="F17">
            <v>4.1631491453266598E-8</v>
          </cell>
          <cell r="G17">
            <v>8.3795447885722895E-8</v>
          </cell>
          <cell r="H17">
            <v>4.01661050501781E-7</v>
          </cell>
        </row>
        <row r="18">
          <cell r="F18">
            <v>1.48206173901519E-2</v>
          </cell>
          <cell r="G18">
            <v>3.4621517949755601E-4</v>
          </cell>
          <cell r="H18">
            <v>1.8380431014080001E-6</v>
          </cell>
        </row>
        <row r="19">
          <cell r="F19">
            <v>7.2180132626381496E-2</v>
          </cell>
          <cell r="G19">
            <v>3.22464876107302E-8</v>
          </cell>
          <cell r="H19">
            <v>2.29145347329887E-8</v>
          </cell>
        </row>
        <row r="20">
          <cell r="F20">
            <v>0</v>
          </cell>
          <cell r="G20">
            <v>0.116047896623186</v>
          </cell>
          <cell r="H20">
            <v>0.199983717344975</v>
          </cell>
        </row>
        <row r="21">
          <cell r="F21">
            <v>0</v>
          </cell>
          <cell r="G21">
            <v>2.8947255761240899E-6</v>
          </cell>
          <cell r="H21">
            <v>3.5944654941799501E-4</v>
          </cell>
        </row>
        <row r="22">
          <cell r="F22">
            <v>1.0649685269411701E-3</v>
          </cell>
          <cell r="G22">
            <v>1.9800904235274601E-6</v>
          </cell>
          <cell r="H22">
            <v>3.0138071614663301E-6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9.62060593032285E-6</v>
          </cell>
          <cell r="G25">
            <v>1.41838007438092E-2</v>
          </cell>
          <cell r="H25">
            <v>2.0133751468946601E-7</v>
          </cell>
        </row>
        <row r="26">
          <cell r="F26">
            <v>4.0667406983267897E-3</v>
          </cell>
          <cell r="G26">
            <v>3.4142760343232897E-8</v>
          </cell>
          <cell r="H26">
            <v>2.46980552615646E-8</v>
          </cell>
        </row>
        <row r="27">
          <cell r="F27">
            <v>0</v>
          </cell>
          <cell r="G27">
            <v>2.6763286369221099E-2</v>
          </cell>
          <cell r="H27">
            <v>4.7363572580008298E-2</v>
          </cell>
        </row>
        <row r="28">
          <cell r="F28">
            <v>7.2812967501076303E-6</v>
          </cell>
          <cell r="G28">
            <v>1.5735019539585799E-2</v>
          </cell>
          <cell r="H28">
            <v>5.63919707483927E-7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5.9119312509369297E-3</v>
          </cell>
          <cell r="H30">
            <v>1.9129701217574799E-7</v>
          </cell>
        </row>
        <row r="31">
          <cell r="F31">
            <v>0</v>
          </cell>
          <cell r="G31">
            <v>1.05649262188712E-4</v>
          </cell>
          <cell r="H31">
            <v>0.15307427039862601</v>
          </cell>
        </row>
        <row r="32">
          <cell r="F32">
            <v>0</v>
          </cell>
          <cell r="G32">
            <v>1.64319793747527E-4</v>
          </cell>
          <cell r="H32">
            <v>4.23792237836807E-8</v>
          </cell>
        </row>
        <row r="33">
          <cell r="F33">
            <v>2.2848608545031301E-2</v>
          </cell>
          <cell r="G33">
            <v>1.33583295975872E-6</v>
          </cell>
          <cell r="H33">
            <v>0.126194125107462</v>
          </cell>
        </row>
        <row r="34">
          <cell r="F34">
            <v>0.17054488548733557</v>
          </cell>
          <cell r="G34">
            <v>0.34491824965790707</v>
          </cell>
          <cell r="H34">
            <v>5.3522585353649992E-7</v>
          </cell>
        </row>
        <row r="35">
          <cell r="F35">
            <v>0.79878976482077102</v>
          </cell>
          <cell r="G35">
            <v>1.0134458509970701</v>
          </cell>
          <cell r="H35">
            <v>4.6491115143560302</v>
          </cell>
        </row>
        <row r="36">
          <cell r="F36">
            <v>0.40045288881608299</v>
          </cell>
          <cell r="G36">
            <v>0.77053925681767299</v>
          </cell>
          <cell r="H36">
            <v>2.557661430435874</v>
          </cell>
        </row>
        <row r="37">
          <cell r="F37">
            <v>0.11251114737992841</v>
          </cell>
          <cell r="G37">
            <v>0.25027918399421029</v>
          </cell>
          <cell r="H37">
            <v>0.235645732865152</v>
          </cell>
        </row>
        <row r="38">
          <cell r="F38">
            <v>0.73007760720347903</v>
          </cell>
          <cell r="G38">
            <v>0.68412774678076604</v>
          </cell>
          <cell r="H38">
            <v>4.4941015882411497</v>
          </cell>
        </row>
        <row r="39">
          <cell r="F39">
            <v>1.8541245478629601E-6</v>
          </cell>
          <cell r="G39">
            <v>1.4293775932985402E-2</v>
          </cell>
          <cell r="H39">
            <v>9.1812006906252203E-5</v>
          </cell>
        </row>
        <row r="40">
          <cell r="F40">
            <v>0</v>
          </cell>
          <cell r="G40">
            <v>3.02240328817183E-3</v>
          </cell>
          <cell r="H40">
            <v>2.74719394827051E-7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4.8143931409403901E-2</v>
          </cell>
          <cell r="G42">
            <v>1.90395758263294E-2</v>
          </cell>
          <cell r="H42">
            <v>1.9774196255071801E-2</v>
          </cell>
        </row>
        <row r="43">
          <cell r="F43">
            <v>0</v>
          </cell>
          <cell r="G43">
            <v>3.4469659714718603E-2</v>
          </cell>
          <cell r="H43">
            <v>5.1388279286387603E-2</v>
          </cell>
        </row>
        <row r="44">
          <cell r="F44">
            <v>2.25761512363162E-7</v>
          </cell>
          <cell r="G44">
            <v>8.6822211143651103E-8</v>
          </cell>
          <cell r="H44">
            <v>4.3346155404429602E-8</v>
          </cell>
        </row>
        <row r="45">
          <cell r="F45">
            <v>0</v>
          </cell>
          <cell r="G45">
            <v>5.0510224236418797E-4</v>
          </cell>
          <cell r="H45">
            <v>2.3716476273761299E-2</v>
          </cell>
        </row>
        <row r="46">
          <cell r="F46">
            <v>1.03354610648951E-6</v>
          </cell>
          <cell r="G46">
            <v>2.26283376824034E-2</v>
          </cell>
          <cell r="H46">
            <v>5.8273256851949697E-3</v>
          </cell>
        </row>
        <row r="47">
          <cell r="F47">
            <v>4.0067804484427298E-5</v>
          </cell>
          <cell r="G47">
            <v>3.3098703049933497E-5</v>
          </cell>
          <cell r="H47">
            <v>3.42736402812798E-5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1.002700120968078E-4</v>
          </cell>
          <cell r="G50">
            <v>3.2730652006609198E-5</v>
          </cell>
          <cell r="H50">
            <v>3.5064696258035891E-6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8.1232268181334992E-3</v>
          </cell>
          <cell r="G53">
            <v>4.0716679606379303E-6</v>
          </cell>
          <cell r="H53">
            <v>4.3318201355873399E-6</v>
          </cell>
        </row>
        <row r="54">
          <cell r="F54">
            <v>4.4080910808911702E-2</v>
          </cell>
          <cell r="G54">
            <v>3.1152728746729998E-2</v>
          </cell>
          <cell r="H54">
            <v>4.3490129421288097E-2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2.0767961267087799E-5</v>
          </cell>
          <cell r="G56">
            <v>1.06404340636099E-5</v>
          </cell>
          <cell r="H56">
            <v>2.1092251476429701E-5</v>
          </cell>
        </row>
        <row r="57">
          <cell r="F57">
            <v>3.23659185856742E-5</v>
          </cell>
          <cell r="G57">
            <v>1.4705329072127501E-3</v>
          </cell>
          <cell r="H57">
            <v>7.9603929604433293E-6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2.20814810419915E-7</v>
          </cell>
          <cell r="G63">
            <v>2.5138423075789502E-7</v>
          </cell>
          <cell r="H63">
            <v>1.70672279593832E-7</v>
          </cell>
        </row>
        <row r="64">
          <cell r="F64">
            <v>3.7256863359910399E-3</v>
          </cell>
          <cell r="G64">
            <v>7.5453300645168097E-3</v>
          </cell>
          <cell r="H64">
            <v>8.9903761226463996E-3</v>
          </cell>
        </row>
        <row r="65">
          <cell r="F65">
            <v>8.6096602938541995E-3</v>
          </cell>
          <cell r="G65">
            <v>1.7337563960777399E-2</v>
          </cell>
          <cell r="H65">
            <v>1.6535310471747899E-2</v>
          </cell>
        </row>
        <row r="66">
          <cell r="F66">
            <v>4.35877833179905E-2</v>
          </cell>
          <cell r="G66">
            <v>8.1764651797591903E-2</v>
          </cell>
          <cell r="H66">
            <v>0.11309505445264501</v>
          </cell>
        </row>
        <row r="67">
          <cell r="F67">
            <v>0.1226754022466674</v>
          </cell>
          <cell r="G67">
            <v>0.24470183853284599</v>
          </cell>
          <cell r="H67">
            <v>0.336137757465159</v>
          </cell>
        </row>
        <row r="68">
          <cell r="F68">
            <v>9.7268743308695001E-3</v>
          </cell>
          <cell r="G68">
            <v>9.9780657217351208E-3</v>
          </cell>
          <cell r="H68">
            <v>1.7269205634289131E-2</v>
          </cell>
        </row>
        <row r="69">
          <cell r="F69">
            <v>7.8277509285620994E-2</v>
          </cell>
          <cell r="G69">
            <v>0.15152440445130999</v>
          </cell>
          <cell r="H69">
            <v>0.20760438529510999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1.6539366600710024E-3</v>
          </cell>
        </row>
      </sheetData>
      <sheetData sheetId="67">
        <row r="5">
          <cell r="F5">
            <v>6.0078902008714536E-5</v>
          </cell>
          <cell r="G5">
            <v>7.1937916567947028E-5</v>
          </cell>
          <cell r="H5">
            <v>1.2734224388358151</v>
          </cell>
        </row>
        <row r="12">
          <cell r="F12">
            <v>5.101531826606251E-5</v>
          </cell>
          <cell r="G12">
            <v>2.8832602208483612E-5</v>
          </cell>
          <cell r="H12">
            <v>2.1509983128217614E-3</v>
          </cell>
        </row>
        <row r="19">
          <cell r="F19">
            <v>4.384765413699502</v>
          </cell>
          <cell r="G19">
            <v>5.1165389241708015</v>
          </cell>
          <cell r="H19">
            <v>9.3766073833796444</v>
          </cell>
        </row>
        <row r="20">
          <cell r="F20">
            <v>7.7412408239987913</v>
          </cell>
          <cell r="G20">
            <v>7.43856187327901</v>
          </cell>
          <cell r="H20">
            <v>7.2591309994282387</v>
          </cell>
        </row>
        <row r="21">
          <cell r="F21">
            <v>3.8737958368957316E-4</v>
          </cell>
          <cell r="G21">
            <v>4.0074879475545056E-4</v>
          </cell>
          <cell r="H21">
            <v>4.0235217767192895E-4</v>
          </cell>
        </row>
        <row r="28">
          <cell r="F28">
            <v>7.0081651207526221</v>
          </cell>
          <cell r="G28">
            <v>7.0081688587846909</v>
          </cell>
          <cell r="H28">
            <v>14.805389453030594</v>
          </cell>
        </row>
        <row r="29">
          <cell r="F29">
            <v>0</v>
          </cell>
          <cell r="G29">
            <v>0</v>
          </cell>
          <cell r="H29">
            <v>7.9652348670088895E-4</v>
          </cell>
        </row>
        <row r="30">
          <cell r="F30">
            <v>0</v>
          </cell>
          <cell r="G30">
            <v>0</v>
          </cell>
          <cell r="H30">
            <v>4.1805681410213253E-4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3.0243682142333221</v>
          </cell>
          <cell r="G38">
            <v>3.0850142783213372</v>
          </cell>
          <cell r="H38">
            <v>3.4773697558403254</v>
          </cell>
        </row>
        <row r="39">
          <cell r="F39">
            <v>2.7601913102491284</v>
          </cell>
          <cell r="G39">
            <v>2.8155399739167191</v>
          </cell>
          <cell r="H39">
            <v>3.1736234157674268</v>
          </cell>
        </row>
      </sheetData>
      <sheetData sheetId="68">
        <row r="3">
          <cell r="F3">
            <v>54.476946114777832</v>
          </cell>
          <cell r="G3">
            <v>55.010060725906392</v>
          </cell>
          <cell r="H3">
            <v>56.389768913033521</v>
          </cell>
        </row>
        <row r="6">
          <cell r="F6">
            <v>4.8609720061950865</v>
          </cell>
          <cell r="G6">
            <v>4.9053938741358953</v>
          </cell>
          <cell r="H6">
            <v>4.905670044510579</v>
          </cell>
        </row>
        <row r="11">
          <cell r="F11">
            <v>69.642074861211967</v>
          </cell>
          <cell r="G11">
            <v>70.092945912006229</v>
          </cell>
          <cell r="H11">
            <v>77.981125220559264</v>
          </cell>
        </row>
        <row r="18">
          <cell r="F18">
            <v>2.6777993659226013E-4</v>
          </cell>
          <cell r="G18">
            <v>0.65156338870537378</v>
          </cell>
          <cell r="H18">
            <v>2.9640435687106753E-4</v>
          </cell>
        </row>
        <row r="19">
          <cell r="F19">
            <v>14.462859248265847</v>
          </cell>
          <cell r="G19">
            <v>14.863002235477179</v>
          </cell>
          <cell r="H19">
            <v>17.689478759133731</v>
          </cell>
        </row>
        <row r="21">
          <cell r="F21">
            <v>10.78512350696119</v>
          </cell>
          <cell r="G21">
            <v>10.597038858866306</v>
          </cell>
          <cell r="H21">
            <v>5.3999807216763145</v>
          </cell>
        </row>
        <row r="22">
          <cell r="F22">
            <v>8.5977217459676014E-2</v>
          </cell>
          <cell r="G22">
            <v>5.941396318622888E-2</v>
          </cell>
          <cell r="H22">
            <v>2.5493162179941589E-2</v>
          </cell>
        </row>
        <row r="23">
          <cell r="F23">
            <v>7.3526367857696426</v>
          </cell>
          <cell r="G23">
            <v>9.796321811742942</v>
          </cell>
          <cell r="H23">
            <v>17.049352698037005</v>
          </cell>
        </row>
        <row r="24">
          <cell r="F24">
            <v>5.8117291411101943</v>
          </cell>
          <cell r="G24">
            <v>5.8591666573717802</v>
          </cell>
          <cell r="H24">
            <v>5.9488442150160923</v>
          </cell>
        </row>
        <row r="33">
          <cell r="F33">
            <v>16.010350787199354</v>
          </cell>
          <cell r="G33">
            <v>15.945386312035899</v>
          </cell>
          <cell r="H33">
            <v>20.268917824616079</v>
          </cell>
        </row>
        <row r="34">
          <cell r="F34">
            <v>4.4102241580505916</v>
          </cell>
          <cell r="G34">
            <v>4.3168408195407686</v>
          </cell>
          <cell r="H34">
            <v>3.1956622830231408E-6</v>
          </cell>
        </row>
        <row r="35">
          <cell r="F35">
            <v>5.4014482182297154E-4</v>
          </cell>
          <cell r="G35">
            <v>2.3014813985791248E-3</v>
          </cell>
          <cell r="H35">
            <v>0</v>
          </cell>
        </row>
        <row r="36">
          <cell r="F36">
            <v>0.55051788920525391</v>
          </cell>
          <cell r="G36">
            <v>0.62259598783224057</v>
          </cell>
          <cell r="H36">
            <v>0.62259142302944304</v>
          </cell>
        </row>
        <row r="37">
          <cell r="F37">
            <v>9.744754652853393</v>
          </cell>
          <cell r="G37">
            <v>5.1131824018737166</v>
          </cell>
          <cell r="H37">
            <v>2.9010630425758553E-4</v>
          </cell>
        </row>
        <row r="38">
          <cell r="F38">
            <v>2.6170477330630524</v>
          </cell>
          <cell r="G38">
            <v>2.1312946821951253</v>
          </cell>
          <cell r="H38">
            <v>2.1373705022477427</v>
          </cell>
        </row>
        <row r="39">
          <cell r="F39">
            <v>10.858153656976414</v>
          </cell>
          <cell r="G39">
            <v>11.287304822417072</v>
          </cell>
          <cell r="H39">
            <v>11.849421680309014</v>
          </cell>
        </row>
        <row r="55">
          <cell r="F55">
            <v>11.374094474819794</v>
          </cell>
          <cell r="G55">
            <v>11.374094755728272</v>
          </cell>
          <cell r="H55">
            <v>15.152287949764093</v>
          </cell>
        </row>
        <row r="56">
          <cell r="F56">
            <v>8.3760406496699975</v>
          </cell>
          <cell r="G56">
            <v>8.3764175358470663</v>
          </cell>
          <cell r="H56">
            <v>8.3764214286343144</v>
          </cell>
        </row>
        <row r="57">
          <cell r="F57">
            <v>3.9035845161052674</v>
          </cell>
          <cell r="G57">
            <v>3.9023510070094689</v>
          </cell>
          <cell r="H57">
            <v>0.49578979730182415</v>
          </cell>
        </row>
        <row r="58">
          <cell r="F58">
            <v>3.7705484468379821E-4</v>
          </cell>
          <cell r="G58">
            <v>1.6234074415227486E-3</v>
          </cell>
          <cell r="H58">
            <v>0</v>
          </cell>
        </row>
        <row r="59">
          <cell r="F59">
            <v>10.309930429931626</v>
          </cell>
          <cell r="G59">
            <v>6.061524547567088</v>
          </cell>
          <cell r="H59">
            <v>1.7964717055928132</v>
          </cell>
        </row>
        <row r="60">
          <cell r="F60">
            <v>1.9728274235313163E-3</v>
          </cell>
          <cell r="G60">
            <v>1.5957341231935755E-3</v>
          </cell>
          <cell r="H60">
            <v>1.6173411876957019E-3</v>
          </cell>
        </row>
        <row r="61">
          <cell r="F61">
            <v>1.8008200735829502E-4</v>
          </cell>
          <cell r="G61">
            <v>0.43980528737612745</v>
          </cell>
          <cell r="H61">
            <v>2.0155496267232597E-4</v>
          </cell>
        </row>
        <row r="62">
          <cell r="F62">
            <v>6.4193141180571258</v>
          </cell>
          <cell r="G62">
            <v>7.1796396147168347</v>
          </cell>
          <cell r="H62">
            <v>7.1902854604718751</v>
          </cell>
        </row>
        <row r="63">
          <cell r="F63">
            <v>7.166040441066043</v>
          </cell>
          <cell r="G63">
            <v>7.2037641580285063</v>
          </cell>
          <cell r="H63">
            <v>8.866039810911273</v>
          </cell>
        </row>
        <row r="64">
          <cell r="F64">
            <v>3.7446748145084756</v>
          </cell>
          <cell r="G64">
            <v>4.9169886068158233</v>
          </cell>
          <cell r="H64">
            <v>4.5417232081779195</v>
          </cell>
        </row>
        <row r="65">
          <cell r="F65">
            <v>3.056075605776416</v>
          </cell>
          <cell r="G65">
            <v>3.0560764946120593</v>
          </cell>
          <cell r="H65">
            <v>3.056077467920145</v>
          </cell>
        </row>
        <row r="66">
          <cell r="F66">
            <v>5.694545211675508</v>
          </cell>
          <cell r="G66">
            <v>5.5952365174814105</v>
          </cell>
          <cell r="H66">
            <v>2.9375895125919134</v>
          </cell>
        </row>
        <row r="67">
          <cell r="F67">
            <v>8.5977217459676014E-2</v>
          </cell>
          <cell r="G67">
            <v>5.941396318622888E-2</v>
          </cell>
          <cell r="H67">
            <v>2.5493162179941589E-2</v>
          </cell>
        </row>
        <row r="68">
          <cell r="F68">
            <v>7.7201472501102311</v>
          </cell>
          <cell r="G68">
            <v>8.0252737287385383</v>
          </cell>
          <cell r="H68">
            <v>8.5315836098224977</v>
          </cell>
        </row>
        <row r="69">
          <cell r="F69">
            <v>5.6390019199855272</v>
          </cell>
          <cell r="G69">
            <v>7.7420639155589468</v>
          </cell>
          <cell r="H69">
            <v>13.791460001802001</v>
          </cell>
        </row>
        <row r="70">
          <cell r="F70">
            <v>4.0157825650090393</v>
          </cell>
          <cell r="G70">
            <v>4.042832337153996</v>
          </cell>
          <cell r="H70">
            <v>4.0429916424182473</v>
          </cell>
        </row>
        <row r="71">
          <cell r="F71">
            <v>77.507739178450308</v>
          </cell>
          <cell r="G71">
            <v>77.978701611385077</v>
          </cell>
          <cell r="H71">
            <v>78.80603365373922</v>
          </cell>
        </row>
      </sheetData>
      <sheetData sheetId="69">
        <row r="3">
          <cell r="F3">
            <v>54.15516747267597</v>
          </cell>
          <cell r="G3">
            <v>52.406629599194964</v>
          </cell>
          <cell r="H3">
            <v>48.941280549060238</v>
          </cell>
        </row>
        <row r="6">
          <cell r="F6">
            <v>6.8331148531276078</v>
          </cell>
          <cell r="G6">
            <v>8.9508546482063078</v>
          </cell>
          <cell r="H6">
            <v>12.973651141307506</v>
          </cell>
        </row>
        <row r="11">
          <cell r="F11">
            <v>60.175870021507791</v>
          </cell>
          <cell r="G11">
            <v>59.713357601910133</v>
          </cell>
          <cell r="H11">
            <v>56.235871998342475</v>
          </cell>
        </row>
        <row r="12">
          <cell r="F12">
            <v>8.9448918712344021</v>
          </cell>
          <cell r="G12">
            <v>3.6167544188071843</v>
          </cell>
          <cell r="H12">
            <v>3.2788671909623356E-6</v>
          </cell>
        </row>
        <row r="13">
          <cell r="F13">
            <v>2.8175412493141249E-4</v>
          </cell>
          <cell r="G13">
            <v>3.5482541274120164E-4</v>
          </cell>
          <cell r="H13">
            <v>0.20370559741461297</v>
          </cell>
        </row>
        <row r="14">
          <cell r="F14">
            <v>10.866239793365933</v>
          </cell>
          <cell r="G14">
            <v>5.9403214337424215</v>
          </cell>
          <cell r="H14">
            <v>2.954294061013504</v>
          </cell>
        </row>
        <row r="15">
          <cell r="F15">
            <v>1.4223823042569319E-4</v>
          </cell>
          <cell r="G15">
            <v>1.980022466702876E-2</v>
          </cell>
          <cell r="H15">
            <v>0.16429427564325538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7.8470929283322466</v>
          </cell>
          <cell r="G17">
            <v>8.2320557529901865</v>
          </cell>
          <cell r="H17">
            <v>7.5787258958079926</v>
          </cell>
        </row>
        <row r="19">
          <cell r="F19">
            <v>0.89834626775079296</v>
          </cell>
          <cell r="G19">
            <v>1.1057106167603146</v>
          </cell>
          <cell r="H19">
            <v>1.2662947576408834</v>
          </cell>
        </row>
        <row r="20">
          <cell r="F20">
            <v>6.8942435610445441E-4</v>
          </cell>
          <cell r="G20">
            <v>1.1974828444736059E-2</v>
          </cell>
          <cell r="H20">
            <v>7.7058743334176595E-3</v>
          </cell>
        </row>
        <row r="21">
          <cell r="F21">
            <v>15.79915515717019</v>
          </cell>
          <cell r="G21">
            <v>21.031791006516922</v>
          </cell>
          <cell r="H21">
            <v>23.08319794985136</v>
          </cell>
        </row>
        <row r="28">
          <cell r="F28">
            <v>6.0207025488318262</v>
          </cell>
          <cell r="G28">
            <v>7.3067280027151735</v>
          </cell>
          <cell r="H28">
            <v>7.2945914492822315</v>
          </cell>
        </row>
        <row r="47">
          <cell r="F47">
            <v>19.289192228730602</v>
          </cell>
          <cell r="G47">
            <v>25.290927988043766</v>
          </cell>
          <cell r="H47">
            <v>27.301901029486569</v>
          </cell>
        </row>
        <row r="48">
          <cell r="F48">
            <v>7.3077931920398163</v>
          </cell>
          <cell r="G48">
            <v>2.9550109832231253</v>
          </cell>
          <cell r="H48">
            <v>0.16858318875153602</v>
          </cell>
        </row>
        <row r="49">
          <cell r="F49">
            <v>7.8054822625722213</v>
          </cell>
          <cell r="G49">
            <v>3.2483189218054913</v>
          </cell>
          <cell r="H49">
            <v>0.97377485473750691</v>
          </cell>
        </row>
        <row r="50">
          <cell r="F50">
            <v>3.8454137583614694</v>
          </cell>
          <cell r="G50">
            <v>4.8363610644588464</v>
          </cell>
          <cell r="H50">
            <v>4.7779869603163325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6.4649061080367023</v>
          </cell>
          <cell r="G52">
            <v>6.782061587043783</v>
          </cell>
          <cell r="H52">
            <v>6.2438092402402763</v>
          </cell>
        </row>
        <row r="53">
          <cell r="F53">
            <v>6.4495594509558387</v>
          </cell>
          <cell r="G53">
            <v>5.4408008090956219</v>
          </cell>
          <cell r="H53">
            <v>3.5388874593046236</v>
          </cell>
        </row>
        <row r="54">
          <cell r="F54">
            <v>0.90288671767887707</v>
          </cell>
          <cell r="G54">
            <v>0.97688154776075631</v>
          </cell>
          <cell r="H54">
            <v>0.81875528926354624</v>
          </cell>
        </row>
        <row r="55">
          <cell r="F55">
            <v>0.89834626775079296</v>
          </cell>
          <cell r="G55">
            <v>1.1057106167603146</v>
          </cell>
          <cell r="H55">
            <v>1.2662947576408834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6.8331148531276078</v>
          </cell>
          <cell r="G58">
            <v>8.9508546482063078</v>
          </cell>
          <cell r="H58">
            <v>12.973651141307506</v>
          </cell>
        </row>
        <row r="59">
          <cell r="F59">
            <v>60.050312693881551</v>
          </cell>
          <cell r="G59">
            <v>59.801792246421741</v>
          </cell>
          <cell r="H59">
            <v>58.222315273027526</v>
          </cell>
        </row>
      </sheetData>
      <sheetData sheetId="70">
        <row r="3">
          <cell r="F3">
            <v>45.903753075607497</v>
          </cell>
          <cell r="G3">
            <v>44.400007195305704</v>
          </cell>
          <cell r="H3">
            <v>40.816805626518132</v>
          </cell>
        </row>
        <row r="10">
          <cell r="F10">
            <v>15.07309335895947</v>
          </cell>
          <cell r="G10">
            <v>19.570207008543999</v>
          </cell>
          <cell r="H10">
            <v>27.88936645550724</v>
          </cell>
        </row>
        <row r="15">
          <cell r="F15">
            <v>71.834591396611543</v>
          </cell>
          <cell r="G15">
            <v>72.466173269645054</v>
          </cell>
          <cell r="H15">
            <v>67.234155641868412</v>
          </cell>
        </row>
        <row r="16">
          <cell r="F16">
            <v>14.461224435372198</v>
          </cell>
          <cell r="G16">
            <v>5.1979638817017717</v>
          </cell>
          <cell r="H16">
            <v>3.6075674790361788E-6</v>
          </cell>
        </row>
        <row r="17">
          <cell r="F17">
            <v>2.823367405052055E-4</v>
          </cell>
          <cell r="G17">
            <v>3.5845622229029728E-4</v>
          </cell>
          <cell r="H17">
            <v>0.44673329155853286</v>
          </cell>
        </row>
        <row r="18">
          <cell r="F18">
            <v>22.569195231870427</v>
          </cell>
          <cell r="G18">
            <v>12.885728838103734</v>
          </cell>
          <cell r="H18">
            <v>7.1758069386560184</v>
          </cell>
        </row>
        <row r="19">
          <cell r="F19">
            <v>1.4373430657665327E-4</v>
          </cell>
          <cell r="G19">
            <v>3.1521029495073988E-2</v>
          </cell>
          <cell r="H19">
            <v>0.23715715113430083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11.001661968305116</v>
          </cell>
          <cell r="G21">
            <v>11.457059150605733</v>
          </cell>
          <cell r="H21">
            <v>10.783183085690785</v>
          </cell>
        </row>
        <row r="22">
          <cell r="F22">
            <v>14.839976337674582</v>
          </cell>
          <cell r="G22">
            <v>12.84754157755882</v>
          </cell>
          <cell r="H22">
            <v>8.109137868894539</v>
          </cell>
        </row>
        <row r="23">
          <cell r="F23">
            <v>1.4915938300403784</v>
          </cell>
          <cell r="G23">
            <v>1.7598506335299737</v>
          </cell>
          <cell r="H23">
            <v>1.9810313614059996</v>
          </cell>
        </row>
        <row r="24">
          <cell r="F24">
            <v>8.2057658065266348E-4</v>
          </cell>
          <cell r="G24">
            <v>3.3744914951069668E-2</v>
          </cell>
          <cell r="H24">
            <v>2.0608202401166915E-2</v>
          </cell>
        </row>
        <row r="25">
          <cell r="F25">
            <v>54.658024120755385</v>
          </cell>
          <cell r="G25">
            <v>65.43768744059858</v>
          </cell>
          <cell r="H25">
            <v>69.573493568966157</v>
          </cell>
        </row>
        <row r="26">
          <cell r="F26">
            <v>190.85751396825736</v>
          </cell>
          <cell r="G26">
            <v>182.1176291924121</v>
          </cell>
          <cell r="H26">
            <v>165.56131071814337</v>
          </cell>
        </row>
        <row r="102">
          <cell r="F102">
            <v>2.8020568842676508E-2</v>
          </cell>
          <cell r="G102">
            <v>1.7679363032179197E-2</v>
          </cell>
          <cell r="H102">
            <v>1.3286101336886213E-2</v>
          </cell>
        </row>
        <row r="104">
          <cell r="F104">
            <v>59.896049068553637</v>
          </cell>
          <cell r="G104">
            <v>68.661524242914865</v>
          </cell>
          <cell r="H104">
            <v>68.289485994908105</v>
          </cell>
        </row>
        <row r="105">
          <cell r="F105">
            <v>10.513385177385389</v>
          </cell>
          <cell r="G105">
            <v>3.582465736136577</v>
          </cell>
          <cell r="H105">
            <v>0.34079449285152091</v>
          </cell>
        </row>
        <row r="106">
          <cell r="F106">
            <v>13.440397460001018</v>
          </cell>
          <cell r="G106">
            <v>5.3712754008172343</v>
          </cell>
          <cell r="H106">
            <v>1.8766593255244715</v>
          </cell>
        </row>
        <row r="107">
          <cell r="F107">
            <v>6.7126821704089368</v>
          </cell>
          <cell r="G107">
            <v>7.8905153162610322</v>
          </cell>
          <cell r="H107">
            <v>7.3590271658549664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7.4400316145493424</v>
          </cell>
          <cell r="G110">
            <v>7.6196517296869084</v>
          </cell>
          <cell r="H110">
            <v>6.9477520126274541</v>
          </cell>
        </row>
        <row r="111">
          <cell r="F111">
            <v>8.0015692343090183</v>
          </cell>
          <cell r="G111">
            <v>6.662410578632362</v>
          </cell>
          <cell r="H111">
            <v>3.9539485994237791</v>
          </cell>
        </row>
        <row r="112">
          <cell r="F112">
            <v>0.64526162136473086</v>
          </cell>
          <cell r="G112">
            <v>0.67272573028140181</v>
          </cell>
          <cell r="H112">
            <v>0.55520096242848027</v>
          </cell>
        </row>
        <row r="113">
          <cell r="F113">
            <v>4.122556924304719E-2</v>
          </cell>
          <cell r="G113">
            <v>4.2531374818538775E-2</v>
          </cell>
          <cell r="H113">
            <v>4.1724302213098231E-2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121.79171584361727</v>
          </cell>
          <cell r="G116">
            <v>120.0909864811251</v>
          </cell>
          <cell r="H116">
            <v>117.267245412676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24.219556908488439</v>
          </cell>
          <cell r="G224">
            <v>26.856156043053911</v>
          </cell>
          <cell r="H224">
            <v>28.736550281482945</v>
          </cell>
        </row>
        <row r="231">
          <cell r="F231">
            <v>1.8650097137970969</v>
          </cell>
          <cell r="G231">
            <v>1.7330770961811073</v>
          </cell>
          <cell r="H231">
            <v>1.5724452641273714</v>
          </cell>
        </row>
        <row r="233">
          <cell r="F233">
            <v>72.03669915513052</v>
          </cell>
          <cell r="G233">
            <v>84.007445016933758</v>
          </cell>
          <cell r="H233">
            <v>86.500364597302649</v>
          </cell>
        </row>
        <row r="234">
          <cell r="F234">
            <v>11.807655104500423</v>
          </cell>
          <cell r="G234">
            <v>4.1790694267410693</v>
          </cell>
          <cell r="H234">
            <v>0.37256608819889747</v>
          </cell>
        </row>
        <row r="235">
          <cell r="F235">
            <v>15.538973271414084</v>
          </cell>
          <cell r="G235">
            <v>6.5070136981974498</v>
          </cell>
          <cell r="H235">
            <v>2.3177197008224417</v>
          </cell>
        </row>
        <row r="236">
          <cell r="F236">
            <v>9.2214850469686365</v>
          </cell>
          <cell r="G236">
            <v>11.224973619402199</v>
          </cell>
          <cell r="H236">
            <v>11.111395034176926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8.9522765884676545</v>
          </cell>
          <cell r="G239">
            <v>9.2988215208515328</v>
          </cell>
          <cell r="H239">
            <v>8.7139648353893868</v>
          </cell>
        </row>
        <row r="240">
          <cell r="F240">
            <v>9.1990578322548124</v>
          </cell>
          <cell r="G240">
            <v>7.7896931965328804</v>
          </cell>
          <cell r="H240">
            <v>4.7903017155304086</v>
          </cell>
        </row>
        <row r="241">
          <cell r="F241">
            <v>0.82542885057262527</v>
          </cell>
          <cell r="G241">
            <v>0.87699130726504715</v>
          </cell>
          <cell r="H241">
            <v>0.75464064169761902</v>
          </cell>
        </row>
        <row r="242">
          <cell r="F242">
            <v>1.4915938300403784</v>
          </cell>
          <cell r="G242">
            <v>1.7598506335299737</v>
          </cell>
          <cell r="H242">
            <v>1.9810313614059996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15.07309335895947</v>
          </cell>
          <cell r="G244">
            <v>19.570207008543999</v>
          </cell>
          <cell r="H244">
            <v>27.88936645550724</v>
          </cell>
        </row>
        <row r="245">
          <cell r="F245">
            <v>146.01127275210573</v>
          </cell>
          <cell r="G245">
            <v>146.94714252417901</v>
          </cell>
          <cell r="H245">
            <v>146.00379569415892</v>
          </cell>
        </row>
      </sheetData>
      <sheetData sheetId="71">
        <row r="21">
          <cell r="F21">
            <v>17.449153440777682</v>
          </cell>
          <cell r="G21">
            <v>6.8618675364020589</v>
          </cell>
          <cell r="H21">
            <v>0.16085943497090127</v>
          </cell>
        </row>
        <row r="22">
          <cell r="F22">
            <v>36.538162197699123</v>
          </cell>
          <cell r="G22">
            <v>27.408227387826123</v>
          </cell>
          <cell r="H22">
            <v>6.3903081971186187E-2</v>
          </cell>
        </row>
        <row r="23">
          <cell r="F23">
            <v>2.5499292980500394</v>
          </cell>
          <cell r="G23">
            <v>2.1195098141216717</v>
          </cell>
          <cell r="H23">
            <v>8.6012015998448987E-7</v>
          </cell>
        </row>
        <row r="24">
          <cell r="F24">
            <v>6.8152906271882882E-3</v>
          </cell>
          <cell r="G24">
            <v>5.7157029423822127E-3</v>
          </cell>
          <cell r="H24">
            <v>2.4013487155212957E-4</v>
          </cell>
        </row>
        <row r="25">
          <cell r="F25">
            <v>1.0109945958708662</v>
          </cell>
          <cell r="G25">
            <v>0.98365582826159026</v>
          </cell>
          <cell r="H25">
            <v>0.90859706963489495</v>
          </cell>
        </row>
        <row r="26">
          <cell r="F26">
            <v>2.9711909755119863</v>
          </cell>
          <cell r="G26">
            <v>2.972054483486283</v>
          </cell>
          <cell r="H26">
            <v>3.0231248170845353</v>
          </cell>
        </row>
        <row r="27">
          <cell r="F27">
            <v>6.9021170090722365E-5</v>
          </cell>
          <cell r="G27">
            <v>8.88258315572614E-4</v>
          </cell>
          <cell r="H27">
            <v>2.0411820614214769E-4</v>
          </cell>
        </row>
        <row r="28">
          <cell r="F28">
            <v>5.6230283929068197E-4</v>
          </cell>
          <cell r="G28">
            <v>1.1235801795482501E-3</v>
          </cell>
          <cell r="H28">
            <v>1.6907743275929401</v>
          </cell>
        </row>
        <row r="32">
          <cell r="F32">
            <v>8.899217784286545E-2</v>
          </cell>
          <cell r="G32">
            <v>8.8553326385706496E-2</v>
          </cell>
          <cell r="H32">
            <v>7.8935254891164507E-3</v>
          </cell>
        </row>
      </sheetData>
      <sheetData sheetId="72">
        <row r="11">
          <cell r="F11">
            <v>65.923080818146985</v>
          </cell>
          <cell r="G11">
            <v>52.509678651557479</v>
          </cell>
          <cell r="H11">
            <v>0</v>
          </cell>
        </row>
        <row r="12">
          <cell r="F12">
            <v>16.480770215650285</v>
          </cell>
          <cell r="G12">
            <v>27.807060979555434</v>
          </cell>
          <cell r="H12">
            <v>75.922142583400799</v>
          </cell>
        </row>
        <row r="13">
          <cell r="F13">
            <v>6.3414486409642002E-5</v>
          </cell>
          <cell r="G13">
            <v>0.29834766709880511</v>
          </cell>
          <cell r="H13">
            <v>0.29834942015129423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2.2555099860118042</v>
          </cell>
          <cell r="G53">
            <v>2.3986277999078012</v>
          </cell>
          <cell r="H53">
            <v>2.3174003812085804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4.0407822978737267</v>
          </cell>
          <cell r="G55">
            <v>3.8316802679468829</v>
          </cell>
          <cell r="H55">
            <v>3.0503855702925491</v>
          </cell>
        </row>
        <row r="56">
          <cell r="F56">
            <v>1.3142509636129651</v>
          </cell>
          <cell r="G56">
            <v>0.64563915561488394</v>
          </cell>
          <cell r="H56">
            <v>0.16757575989277093</v>
          </cell>
        </row>
        <row r="57">
          <cell r="F57">
            <v>2.4210892494757301</v>
          </cell>
          <cell r="G57">
            <v>1.1480595650569059</v>
          </cell>
          <cell r="H57">
            <v>0.407142601948009</v>
          </cell>
        </row>
        <row r="58">
          <cell r="F58">
            <v>4.2139393935024199</v>
          </cell>
          <cell r="G58">
            <v>2.7098792500319213</v>
          </cell>
          <cell r="H58">
            <v>1.6816668401583808E-2</v>
          </cell>
        </row>
        <row r="59">
          <cell r="F59">
            <v>0</v>
          </cell>
          <cell r="G59">
            <v>-1.5905878806409575</v>
          </cell>
          <cell r="H59">
            <v>-5.5668702474165572</v>
          </cell>
        </row>
        <row r="60">
          <cell r="F60">
            <v>0</v>
          </cell>
          <cell r="G60">
            <v>-0.23166272966484822</v>
          </cell>
          <cell r="H60">
            <v>-1.9838205321305105</v>
          </cell>
        </row>
        <row r="61">
          <cell r="F61">
            <v>0</v>
          </cell>
          <cell r="G61">
            <v>0</v>
          </cell>
          <cell r="H61">
            <v>-3.041272440676906E-5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-2.7261136708672777E-6</v>
          </cell>
          <cell r="H63">
            <v>-8.8524107315973939E-6</v>
          </cell>
        </row>
        <row r="77">
          <cell r="B77">
            <v>0</v>
          </cell>
          <cell r="C77">
            <v>1.9047633561724246</v>
          </cell>
        </row>
        <row r="78">
          <cell r="B78">
            <v>0</v>
          </cell>
          <cell r="C78">
            <v>1.7001143491533127E-2</v>
          </cell>
        </row>
        <row r="79">
          <cell r="B79">
            <v>0</v>
          </cell>
          <cell r="C79">
            <v>5.6289454549164581</v>
          </cell>
        </row>
      </sheetData>
      <sheetData sheetId="75">
        <row r="99">
          <cell r="J99">
            <v>16.251883769553704</v>
          </cell>
          <cell r="K99">
            <v>14.227585646408301</v>
          </cell>
          <cell r="L99">
            <v>2.0427830190736787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300.18608525871826</v>
      </c>
      <c r="G2" s="3">
        <f t="shared" ref="G2:K2" si="0">G3+G8+G11+G12+G16+G17+G18+G19</f>
        <v>292.84408447543996</v>
      </c>
      <c r="H2" s="3">
        <f t="shared" si="0"/>
        <v>331.72196475187877</v>
      </c>
      <c r="I2" s="3">
        <f t="shared" si="0"/>
        <v>399.67808396302235</v>
      </c>
      <c r="J2" s="3">
        <f t="shared" si="0"/>
        <v>421.31779057339799</v>
      </c>
      <c r="K2" s="3">
        <f t="shared" si="0"/>
        <v>444.3665745840317</v>
      </c>
      <c r="L2" s="3">
        <f t="shared" ref="L2" si="1">L3+L8+L11+L12+L16+L17+L18+L19</f>
        <v>468.9509468530739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44.972435036322395</v>
      </c>
      <c r="G3" s="1">
        <f t="shared" ref="G3:K3" si="4">SUM(G4:G7)</f>
        <v>48.190474936972819</v>
      </c>
      <c r="H3" s="1">
        <f t="shared" si="4"/>
        <v>49.768347685383006</v>
      </c>
      <c r="I3" s="1">
        <f t="shared" si="4"/>
        <v>49.76847966243723</v>
      </c>
      <c r="J3" s="1">
        <f t="shared" si="4"/>
        <v>51.347318226765339</v>
      </c>
      <c r="K3" s="1">
        <f t="shared" si="4"/>
        <v>51.347318906753998</v>
      </c>
      <c r="L3" s="1">
        <f t="shared" ref="L3" si="5">SUM(L4:L7)</f>
        <v>51.347318935866141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11.111878547547727</v>
      </c>
      <c r="G4" s="1" cm="1">
        <f t="array" ref="G4">SUMPRODUCT(("RNWWOD1"=[1]OUT_PrimaryEnergyCons!$A$1:$A$1000)*1,[1]OUT_PrimaryEnergyCons!E$1:E$1000)</f>
        <v>11.95288628103493</v>
      </c>
      <c r="H4" s="1" cm="1">
        <f t="array" ref="H4">SUMPRODUCT(("RNWWOD1"=[1]OUT_PrimaryEnergyCons!$A$1:$A$1000)*1,[1]OUT_PrimaryEnergyCons!F$1:F$1000)</f>
        <v>13.21439331295667</v>
      </c>
      <c r="I4" s="1" cm="1">
        <f t="array" ref="I4">SUMPRODUCT(("RNWWOD1"=[1]OUT_PrimaryEnergyCons!$A$1:$A$1000)*1,[1]OUT_PrimaryEnergyCons!G$1:G$1000)</f>
        <v>15.316911318714144</v>
      </c>
      <c r="J4" s="1" cm="1">
        <f t="array" ref="J4">SUMPRODUCT(("RNWWOD1"=[2]OUT_PrimaryEnergyCons!$A$1:$A$1000)*1,[2]OUT_PrimaryEnergyCons!H$1:H$1000)</f>
        <v>15.849139590184555</v>
      </c>
      <c r="K4" s="1" cm="1">
        <f t="array" ref="K4">SUMPRODUCT(("RNWWOD1"=[2]OUT_PrimaryEnergyCons!$A$1:$A$1000)*1,[2]OUT_PrimaryEnergyCons!I$1:I$1000)</f>
        <v>16.266396919958851</v>
      </c>
      <c r="L4" s="1" cm="1">
        <f t="array" ref="L4">SUMPRODUCT(("RNWWOD1"=[2]OUT_PrimaryEnergyCons!$A$1:$A$1000)*1,[2]OUT_PrimaryEnergyCons!J$1:J$1000)</f>
        <v>16.95699467200815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7.5116716224354203</v>
      </c>
      <c r="G5" s="1" cm="1">
        <f t="array" ref="G5">SUMPRODUCT(("RNWWOD2"=[1]OUT_PrimaryEnergyCons!$A$1:$A$1000)*1,[1]OUT_PrimaryEnergyCons!E$1:E$1000)</f>
        <v>7.543144084538147</v>
      </c>
      <c r="H5" s="1" cm="1">
        <f t="array" ref="H5">SUMPRODUCT(("RNWWOD2"=[1]OUT_PrimaryEnergyCons!$A$1:$A$1000)*1,[1]OUT_PrimaryEnergyCons!F$1:F$1000)</f>
        <v>7.590348187396585</v>
      </c>
      <c r="I5" s="1" cm="1">
        <f t="array" ref="I5">SUMPRODUCT(("RNWWOD2"=[1]OUT_PrimaryEnergyCons!$A$1:$A$1000)*1,[1]OUT_PrimaryEnergyCons!G$1:G$1000)</f>
        <v>7.6690269584215116</v>
      </c>
      <c r="J5" s="1" cm="1">
        <f t="array" ref="J5">SUMPRODUCT(("RNWWOD2"=[2]OUT_PrimaryEnergyCons!$A$1:$A$1000)*1,[2]OUT_PrimaryEnergyCons!H$1:H$1000)</f>
        <v>7.6690267405428489</v>
      </c>
      <c r="K5" s="1" cm="1">
        <f t="array" ref="K5">SUMPRODUCT(("RNWWOD2"=[2]OUT_PrimaryEnergyCons!$A$1:$A$1000)*1,[2]OUT_PrimaryEnergyCons!I$1:I$1000)</f>
        <v>7.6690271400498915</v>
      </c>
      <c r="L5" s="1" cm="1">
        <f t="array" ref="L5">SUMPRODUCT(("RNWWOD2"=[2]OUT_PrimaryEnergyCons!$A$1:$A$1000)*1,[2]OUT_PrimaryEnergyCons!J$1:J$1000)</f>
        <v>7.6690274181911402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3.168245391696475</v>
      </c>
      <c r="G6" s="1" cm="1">
        <f t="array" ref="G6">SUMPRODUCT(("RNWWOD3"=[1]OUT_PrimaryEnergyCons!$A$1:$A$1000)*1,[1]OUT_PrimaryEnergyCons!E$1:E$1000)</f>
        <v>3.495672889927893</v>
      </c>
      <c r="H6" s="1" cm="1">
        <f t="array" ref="H6">SUMPRODUCT(("RNWWOD3"=[1]OUT_PrimaryEnergyCons!$A$1:$A$1000)*1,[1]OUT_PrimaryEnergyCons!F$1:F$1000)</f>
        <v>3.9868143719520486</v>
      </c>
      <c r="I6" s="1" cm="1">
        <f t="array" ref="I6">SUMPRODUCT(("RNWWOD3"=[1]OUT_PrimaryEnergyCons!$A$1:$A$1000)*1,[1]OUT_PrimaryEnergyCons!G$1:G$1000)</f>
        <v>4.8053861177913157</v>
      </c>
      <c r="J6" s="1" cm="1">
        <f t="array" ref="J6">SUMPRODUCT(("RNWWOD3"=[2]OUT_PrimaryEnergyCons!$A$1:$A$1000)*1,[2]OUT_PrimaryEnergyCons!H$1:H$1000)</f>
        <v>4.8053858634506561</v>
      </c>
      <c r="K6" s="1" cm="1">
        <f t="array" ref="K6">SUMPRODUCT(("RNWWOD3"=[2]OUT_PrimaryEnergyCons!$A$1:$A$1000)*1,[2]OUT_PrimaryEnergyCons!I$1:I$1000)</f>
        <v>4.8053863659903202</v>
      </c>
      <c r="L6" s="1" cm="1">
        <f t="array" ref="L6">SUMPRODUCT(("RNWWOD3"=[2]OUT_PrimaryEnergyCons!$A$1:$A$1000)*1,[2]OUT_PrimaryEnergyCons!J$1:J$1000)</f>
        <v>4.8053861876806963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23.180639474642774</v>
      </c>
      <c r="G7" s="1" cm="1">
        <f t="array" ref="G7">SUMPRODUCT(("RNWWOD4"=[1]OUT_PrimaryEnergyCons!$A$1:$A$1000)*1+("RNWWOD5"=[1]OUT_PrimaryEnergyCons!$A$1:$A$1000)*1,[1]OUT_PrimaryEnergyCons!E$1:E$1000)</f>
        <v>25.198771681471847</v>
      </c>
      <c r="H7" s="1" cm="1">
        <f t="array" ref="H7">SUMPRODUCT(("RNWWOD4"=[1]OUT_PrimaryEnergyCons!$A$1:$A$1000)*1+("RNWWOD5"=[1]OUT_PrimaryEnergyCons!$A$1:$A$1000)*1,[1]OUT_PrimaryEnergyCons!F$1:F$1000)</f>
        <v>24.976791813077703</v>
      </c>
      <c r="I7" s="1" cm="1">
        <f t="array" ref="I7">SUMPRODUCT(("RNWWOD4"=[1]OUT_PrimaryEnergyCons!$A$1:$A$1000)*1+("RNWWOD5"=[1]OUT_PrimaryEnergyCons!$A$1:$A$1000)*1,[1]OUT_PrimaryEnergyCons!G$1:G$1000)</f>
        <v>21.977155267510255</v>
      </c>
      <c r="J7" s="1" cm="1">
        <f t="array" ref="J7">SUMPRODUCT(("RNWWOD4"=[2]OUT_PrimaryEnergyCons!$A$1:$A$1000)*1+("RNWWOD5"=[2]OUT_PrimaryEnergyCons!$A$1:$A$1000)*1,[2]OUT_PrimaryEnergyCons!H$1:H$1000)</f>
        <v>23.023766032587282</v>
      </c>
      <c r="K7" s="1" cm="1">
        <f t="array" ref="K7">SUMPRODUCT(("RNWWOD4"=[2]OUT_PrimaryEnergyCons!$A$1:$A$1000)*1+("RNWWOD5"=[2]OUT_PrimaryEnergyCons!$A$1:$A$1000)*1,[2]OUT_PrimaryEnergyCons!I$1:I$1000)</f>
        <v>22.60650848075494</v>
      </c>
      <c r="L7" s="1" cm="1">
        <f t="array" ref="L7">SUMPRODUCT(("RNWWOD4"=[2]OUT_PrimaryEnergyCons!$A$1:$A$1000)*1+("RNWWOD5"=[2]OUT_PrimaryEnergyCons!$A$1:$A$1000)*1,[2]OUT_PrimaryEnergyCons!J$1:J$1000)</f>
        <v>21.915910657986156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70.031517150567737</v>
      </c>
      <c r="G8" s="1">
        <f t="shared" ref="G8:K8" si="9">SUM(G9:G10)</f>
        <v>70.097157853916258</v>
      </c>
      <c r="H8" s="1">
        <f t="shared" si="9"/>
        <v>69.498225229629725</v>
      </c>
      <c r="I8" s="1">
        <f t="shared" si="9"/>
        <v>71.102491773561155</v>
      </c>
      <c r="J8" s="1">
        <f t="shared" si="9"/>
        <v>72.390907792961528</v>
      </c>
      <c r="K8" s="1">
        <f t="shared" si="9"/>
        <v>72.856974478161945</v>
      </c>
      <c r="L8" s="1">
        <f t="shared" ref="L8" si="10">SUM(L9:L10)</f>
        <v>73.056517729991768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35.931077297064711</v>
      </c>
      <c r="G9" s="1" cm="1">
        <f t="array" ref="G9">SUMPRODUCT(("RNNWWST1"=[1]OUT_PrimaryEnergyCons!$A$1:$A$1000)*1,[1]OUT_PrimaryEnergyCons!E$1:E$1000)</f>
        <v>35.882385651782826</v>
      </c>
      <c r="H9" s="1" cm="1">
        <f t="array" ref="H9">SUMPRODUCT(("RNNWWST1"=[1]OUT_PrimaryEnergyCons!$A$1:$A$1000)*1,[1]OUT_PrimaryEnergyCons!F$1:F$1000)</f>
        <v>35.283441839682261</v>
      </c>
      <c r="I9" s="1" cm="1">
        <f t="array" ref="I9">SUMPRODUCT(("RNNWWST1"=[1]OUT_PrimaryEnergyCons!$A$1:$A$1000)*1,[1]OUT_PrimaryEnergyCons!G$1:G$1000)</f>
        <v>35.060088143644727</v>
      </c>
      <c r="J9" s="1" cm="1">
        <f t="array" ref="J9">SUMPRODUCT(("RNNWWST1"=[2]OUT_PrimaryEnergyCons!$A$1:$A$1000)*1,[2]OUT_PrimaryEnergyCons!H$1:H$1000)</f>
        <v>34.937585344433401</v>
      </c>
      <c r="K9" s="1" cm="1">
        <f t="array" ref="K9">SUMPRODUCT(("RNNWWST1"=[2]OUT_PrimaryEnergyCons!$A$1:$A$1000)*1,[2]OUT_PrimaryEnergyCons!I$1:I$1000)</f>
        <v>35.403643505638776</v>
      </c>
      <c r="L9" s="1" cm="1">
        <f t="array" ref="L9">SUMPRODUCT(("RNNWWST1"=[2]OUT_PrimaryEnergyCons!$A$1:$A$1000)*1,[2]OUT_PrimaryEnergyCons!J$1:J$1000)</f>
        <v>35.603182408287772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34.100439853503033</v>
      </c>
      <c r="G10" s="1" cm="1">
        <f t="array" ref="G10">SUMPRODUCT(("RNWWST1"=[1]OUT_PrimaryEnergyCons!$A$1:$A$1000)*1,[1]OUT_PrimaryEnergyCons!E$1:E$1000)</f>
        <v>34.214772202133425</v>
      </c>
      <c r="H10" s="1" cm="1">
        <f t="array" ref="H10">SUMPRODUCT(("RNWWST1"=[1]OUT_PrimaryEnergyCons!$A$1:$A$1000)*1,[1]OUT_PrimaryEnergyCons!F$1:F$1000)</f>
        <v>34.214783389947463</v>
      </c>
      <c r="I10" s="1" cm="1">
        <f t="array" ref="I10">SUMPRODUCT(("RNWWST1"=[1]OUT_PrimaryEnergyCons!$A$1:$A$1000)*1,[1]OUT_PrimaryEnergyCons!G$1:G$1000)</f>
        <v>36.042403629916436</v>
      </c>
      <c r="J10" s="1" cm="1">
        <f t="array" ref="J10">SUMPRODUCT(("RNWWST1"=[2]OUT_PrimaryEnergyCons!$A$1:$A$1000)*1,[2]OUT_PrimaryEnergyCons!H$1:H$1000)</f>
        <v>37.453322448528127</v>
      </c>
      <c r="K10" s="1" cm="1">
        <f t="array" ref="K10">SUMPRODUCT(("RNWWST1"=[2]OUT_PrimaryEnergyCons!$A$1:$A$1000)*1,[2]OUT_PrimaryEnergyCons!I$1:I$1000)</f>
        <v>37.453330972523169</v>
      </c>
      <c r="L10" s="1" cm="1">
        <f t="array" ref="L10">SUMPRODUCT(("RNWWST1"=[2]OUT_PrimaryEnergyCons!$A$1:$A$1000)*1,[2]OUT_PrimaryEnergyCons!J$1:J$1000)</f>
        <v>37.453335321703996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3.798091949303426</v>
      </c>
      <c r="G11" s="1" cm="1">
        <f t="array" ref="G11">SUMPRODUCT(("mnr"=[1]OUT_PrimaryEnergyCons!$C$1:$C$1000)*1,[1]OUT_PrimaryEnergyCons!E$1:E$1000)</f>
        <v>10.103738166172031</v>
      </c>
      <c r="H11" s="1" cm="1">
        <f t="array" ref="H11">SUMPRODUCT(("mnr"=[1]OUT_PrimaryEnergyCons!$C$1:$C$1000)*1,[1]OUT_PrimaryEnergyCons!F$1:F$1000)</f>
        <v>12.540177973050511</v>
      </c>
      <c r="I11" s="1" cm="1">
        <f t="array" ref="I11">SUMPRODUCT(("mnr"=[1]OUT_PrimaryEnergyCons!$C$1:$C$1000)*1,[1]OUT_PrimaryEnergyCons!G$1:G$1000)</f>
        <v>12.540421597216916</v>
      </c>
      <c r="J11" s="1" cm="1">
        <f t="array" ref="J11">SUMPRODUCT(("mnr"=[2]OUT_PrimaryEnergyCons!$C$1:$C$1000)*1,[2]OUT_PrimaryEnergyCons!H$1:H$1000)</f>
        <v>12.540429083180546</v>
      </c>
      <c r="K11" s="1" cm="1">
        <f t="array" ref="K11">SUMPRODUCT(("mnr"=[2]OUT_PrimaryEnergyCons!$C$1:$C$1000)*1,[2]OUT_PrimaryEnergyCons!I$1:I$1000)</f>
        <v>14.633301323128487</v>
      </c>
      <c r="L11" s="1" cm="1">
        <f t="array" ref="L11">SUMPRODUCT(("mnr"=[2]OUT_PrimaryEnergyCons!$C$1:$C$1000)*1,[2]OUT_PrimaryEnergyCons!J$1:J$1000)</f>
        <v>26.817097116465753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149.43048395881004</v>
      </c>
      <c r="G12" s="1">
        <f t="shared" ref="G12:K12" si="11">SUM(G13:G15)</f>
        <v>125.60698324405315</v>
      </c>
      <c r="H12" s="1">
        <f t="shared" si="11"/>
        <v>137.14139880288545</v>
      </c>
      <c r="I12" s="1">
        <f t="shared" si="11"/>
        <v>151.25678959878701</v>
      </c>
      <c r="J12" s="1">
        <f t="shared" si="11"/>
        <v>151.28651888256937</v>
      </c>
      <c r="K12" s="1">
        <f t="shared" si="11"/>
        <v>151.324738900429</v>
      </c>
      <c r="L12" s="1">
        <f t="shared" ref="L12" si="12">SUM(L13:L15)</f>
        <v>151.4012935535776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66.745680112610472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49.798797638350962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69.090669467554392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70.809472620928375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71.582529759456136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72.666766131941159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74.835911068843586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66.632401302559771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55.763999499234785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65.55693882909793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64.509539778207909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63.734799571754991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62.650564855208074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60.481420553458335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16.052402543639801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20.044186106467407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2.4937905062331391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15.937777199650721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15.96918955135825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16.00740791327976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16.083961931275677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12.556476983150077</v>
      </c>
      <c r="G16" s="1" cm="1">
        <f t="array" ref="G16">SUMPRODUCT(ISNUMBER(SEARCH("SOL",[1]OUT_PrimaryEnergyCons!$C$1:$C$1000))*1,[1]OUT_PrimaryEnergyCons!E$1:E$1000)</f>
        <v>16.522291880887948</v>
      </c>
      <c r="H16" s="1" cm="1">
        <f t="array" ref="H16">SUMPRODUCT(ISNUMBER(SEARCH("SOL",[1]OUT_PrimaryEnergyCons!$C$1:$C$1000))*1,[1]OUT_PrimaryEnergyCons!F$1:F$1000)</f>
        <v>30.431207350638559</v>
      </c>
      <c r="I16" s="1" cm="1">
        <f t="array" ref="I16">SUMPRODUCT(ISNUMBER(SEARCH("SOL",[1]OUT_PrimaryEnergyCons!$C$1:$C$1000))*1,[1]OUT_PrimaryEnergyCons!G$1:G$1000)</f>
        <v>52.839375045989406</v>
      </c>
      <c r="J16" s="1" cm="1">
        <f t="array" ref="J16">SUMPRODUCT(ISNUMBER(SEARCH("SOL",[2]OUT_PrimaryEnergyCons!$C$1:$C$1000))*1,[2]OUT_PrimaryEnergyCons!H$1:H$1000)</f>
        <v>56.60366819269948</v>
      </c>
      <c r="K16" s="1" cm="1">
        <f t="array" ref="K16">SUMPRODUCT(ISNUMBER(SEARCH("SOL",[2]OUT_PrimaryEnergyCons!$C$1:$C$1000))*1,[2]OUT_PrimaryEnergyCons!I$1:I$1000)</f>
        <v>60.991146672485911</v>
      </c>
      <c r="L16" s="1" cm="1">
        <f t="array" ref="L16">SUMPRODUCT(ISNUMBER(SEARCH("SOL",[2]OUT_PrimaryEnergyCons!$C$1:$C$1000))*1,[2]OUT_PrimaryEnergyCons!J$1:J$1000)</f>
        <v>66.822361123847642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0.52400705162755912</v>
      </c>
      <c r="G17" s="1" cm="1">
        <f t="array" ref="G17">SUMPRODUCT(ISNUMBER(SEARCH("wnd",[1]OUT_PrimaryEnergyCons!$C$1:$C$1000))*1,[1]OUT_PrimaryEnergyCons!E$1:E$1000)</f>
        <v>0.54529350454171022</v>
      </c>
      <c r="H17" s="1" cm="1">
        <f t="array" ref="H17">SUMPRODUCT(ISNUMBER(SEARCH("wnd",[1]OUT_PrimaryEnergyCons!$C$1:$C$1000))*1,[1]OUT_PrimaryEnergyCons!F$1:F$1000)</f>
        <v>0.5031661036118501</v>
      </c>
      <c r="I17" s="1" cm="1">
        <f t="array" ref="I17">SUMPRODUCT(ISNUMBER(SEARCH("wnd",[1]OUT_PrimaryEnergyCons!$C$1:$C$1000))*1,[1]OUT_PrimaryEnergyCons!G$1:G$1000)</f>
        <v>2.0502672024973938</v>
      </c>
      <c r="J17" s="1" cm="1">
        <f t="array" ref="J17">SUMPRODUCT(ISNUMBER(SEARCH("wnd",[2]OUT_PrimaryEnergyCons!$C$1:$C$1000))*1,[2]OUT_PrimaryEnergyCons!H$1:H$1000)</f>
        <v>0.8800399761858867</v>
      </c>
      <c r="K17" s="1" cm="1">
        <f t="array" ref="K17">SUMPRODUCT(ISNUMBER(SEARCH("wnd",[2]OUT_PrimaryEnergyCons!$C$1:$C$1000))*1,[2]OUT_PrimaryEnergyCons!I$1:I$1000)</f>
        <v>0.88004881608948282</v>
      </c>
      <c r="L17" s="1" cm="1">
        <f t="array" ref="L17">SUMPRODUCT(ISNUMBER(SEARCH("wnd",[2]OUT_PrimaryEnergyCons!$C$1:$C$1000))*1,[2]OUT_PrimaryEnergyCons!J$1:J$1000)</f>
        <v>0.88004978127155831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18.873073128937065</v>
      </c>
      <c r="G18" s="1">
        <f>[1]Overview!C$9-G19</f>
        <v>21.778144888896051</v>
      </c>
      <c r="H18" s="1">
        <f>[1]Overview!D$9-H19</f>
        <v>31.839441606679685</v>
      </c>
      <c r="I18" s="1">
        <f>[1]Overview!E$9-I19</f>
        <v>60.120259082533238</v>
      </c>
      <c r="J18" s="1">
        <f>[2]Overview!F$9-J19</f>
        <v>76.268908419035768</v>
      </c>
      <c r="K18" s="1">
        <f>[2]Overview!G$9-K19</f>
        <v>92.328645104487279</v>
      </c>
      <c r="L18" s="1">
        <f>[2]Overview!H$9-L19</f>
        <v>98.605535733833605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4.4003824955617466E-3</v>
      </c>
      <c r="L19" s="1">
        <f>+[2]Overview!H$28</f>
        <v>2.0772878219816677E-2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779.54681520796476</v>
      </c>
      <c r="G20" s="3">
        <f t="shared" si="13"/>
        <v>700.24613260430942</v>
      </c>
      <c r="H20" s="3">
        <f t="shared" si="13"/>
        <v>648.99723440871526</v>
      </c>
      <c r="I20" s="3">
        <f t="shared" si="13"/>
        <v>505.13175264019856</v>
      </c>
      <c r="J20" s="3">
        <f t="shared" si="13"/>
        <v>403.60653957741761</v>
      </c>
      <c r="K20" s="3">
        <f t="shared" si="13"/>
        <v>352.3146720932412</v>
      </c>
      <c r="L20" s="3">
        <f t="shared" ref="L20" si="14">SUM(L21:L22,L41,L50:L51,L56)</f>
        <v>405.24546272357958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3.6600076133470161</v>
      </c>
      <c r="G21" s="1" cm="1">
        <f t="array" ref="G21">SUMPRODUCT(("COA"=[1]OUT_PrimaryEnergyCons!$C$4:$C$10000)*1,[1]OUT_PrimaryEnergyCons!E$4:E$10000)</f>
        <v>3.5647185818756522</v>
      </c>
      <c r="H21" s="1" cm="1">
        <f t="array" ref="H21">SUMPRODUCT(("COA"=[1]OUT_PrimaryEnergyCons!$C$4:$C$10000)*1,[1]OUT_PrimaryEnergyCons!F$4:F$10000)</f>
        <v>5.4973938361112522E-2</v>
      </c>
      <c r="I21" s="1" cm="1">
        <f t="array" ref="I21">SUMPRODUCT(("COA"=[1]OUT_PrimaryEnergyCons!$C$4:$C$10000)*1,[1]OUT_PrimaryEnergyCons!G$4:G$10000)</f>
        <v>1.0527247038348468E-3</v>
      </c>
      <c r="J21" s="1" cm="1">
        <f t="array" ref="J21">SUMPRODUCT(("COA"=[2]OUT_PrimaryEnergyCons!$C$4:$C$10000)*1,[2]OUT_PrimaryEnergyCons!H$4:H$10000)</f>
        <v>2.6777993659226013E-4</v>
      </c>
      <c r="K21" s="1" cm="1">
        <f t="array" ref="K21">SUMPRODUCT(("COA"=[2]OUT_PrimaryEnergyCons!$C$4:$C$10000)*1,[2]OUT_PrimaryEnergyCons!I$4:I$10000)</f>
        <v>0.65156338870537378</v>
      </c>
      <c r="L21" s="1" cm="1">
        <f t="array" ref="L21">SUMPRODUCT(("COA"=[2]OUT_PrimaryEnergyCons!$C$4:$C$10000)*1,[2]OUT_PrimaryEnergyCons!J$4:J$10000)</f>
        <v>2.9640435687106753E-4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310.6188422907415</v>
      </c>
      <c r="G22" s="1">
        <f t="shared" ref="G22:K22" si="15">G23+G29</f>
        <v>285.86973425522075</v>
      </c>
      <c r="H22" s="1">
        <f t="shared" si="15"/>
        <v>260.96912270732537</v>
      </c>
      <c r="I22" s="1">
        <f t="shared" si="15"/>
        <v>166.667128914899</v>
      </c>
      <c r="J22" s="1">
        <f t="shared" si="15"/>
        <v>107.61950209761898</v>
      </c>
      <c r="K22" s="1">
        <f t="shared" si="15"/>
        <v>84.236369770258449</v>
      </c>
      <c r="L22" s="1">
        <f t="shared" ref="L22" si="16">L23+L29</f>
        <v>81.647570857029805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303.82415308170494</v>
      </c>
      <c r="G23" s="1">
        <f t="shared" ref="G23:K23" si="20">SUM(G24:G28)</f>
        <v>279.19775903208347</v>
      </c>
      <c r="H23" s="1">
        <f t="shared" si="20"/>
        <v>253.20273474693849</v>
      </c>
      <c r="I23" s="1">
        <f t="shared" si="20"/>
        <v>154.77553882298315</v>
      </c>
      <c r="J23" s="1">
        <f t="shared" si="20"/>
        <v>86.462954168238582</v>
      </c>
      <c r="K23" s="1">
        <f t="shared" si="20"/>
        <v>51.779673447976627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101.75571683158913</v>
      </c>
      <c r="G24" s="1" cm="1">
        <f t="array" ref="G24">SUMPRODUCT(("LFO"=[1]OUT_PrimaryEnergyCons!$C$4:$C$10000)*1,[1]OUT_PrimaryEnergyCons!E$4:E$10000)</f>
        <v>88.53250012528818</v>
      </c>
      <c r="H24" s="1" cm="1">
        <f t="array" ref="H24">SUMPRODUCT(("LFO"=[1]OUT_PrimaryEnergyCons!$C$4:$C$10000)*1,[1]OUT_PrimaryEnergyCons!F$4:F$10000)</f>
        <v>84.575680528166146</v>
      </c>
      <c r="I24" s="1" cm="1">
        <f t="array" ref="I24">SUMPRODUCT(("LFO"=[1]OUT_PrimaryEnergyCons!$C$4:$C$10000)*1,[1]OUT_PrimaryEnergyCons!G$4:G$10000)</f>
        <v>43.1291447502743</v>
      </c>
      <c r="J24" s="1" cm="1">
        <f t="array" ref="J24">SUMPRODUCT(("LFO"=[2]OUT_PrimaryEnergyCons!$C$4:$C$10000)*1,[2]OUT_PrimaryEnergyCons!H$4:H$10000)</f>
        <v>29.081889310862266</v>
      </c>
      <c r="K24" s="1" cm="1">
        <f t="array" ref="K24">SUMPRODUCT(("LFO"=[2]OUT_PrimaryEnergyCons!$C$4:$C$10000)*1,[2]OUT_PrimaryEnergyCons!I$4:I$10000)</f>
        <v>14.84665048873155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2.7763749147230832</v>
      </c>
      <c r="G25" s="1" cm="1">
        <f t="array" ref="G25">SUMPRODUCT(("HFO"=[1]OUT_PrimaryEnergyCons!$C$4:$C$10000)*1,[1]OUT_PrimaryEnergyCons!E$4:E$10000)</f>
        <v>2.4460036651318813</v>
      </c>
      <c r="H25" s="1" cm="1">
        <f t="array" ref="H25">SUMPRODUCT(("HFO"=[1]OUT_PrimaryEnergyCons!$C$4:$C$10000)*1,[1]OUT_PrimaryEnergyCons!F$4:F$10000)</f>
        <v>4.106701765337473E-3</v>
      </c>
      <c r="I25" s="1" cm="1">
        <f t="array" ref="I25">SUMPRODUCT(("HFO"=[1]OUT_PrimaryEnergyCons!$C$4:$C$10000)*1,[1]OUT_PrimaryEnergyCons!G$4:G$10000)</f>
        <v>7.3389114231985552E-4</v>
      </c>
      <c r="J25" s="1" cm="1">
        <f t="array" ref="J25">SUMPRODUCT(("HFO"=[2]OUT_PrimaryEnergyCons!$C$4:$C$10000)*1,[2]OUT_PrimaryEnergyCons!H$4:H$10000)</f>
        <v>5.493190908135052E-4</v>
      </c>
      <c r="K25" s="1" cm="1">
        <f t="array" ref="K25">SUMPRODUCT(("HFO"=[2]OUT_PrimaryEnergyCons!$C$4:$C$10000)*1,[2]OUT_PrimaryEnergyCons!I$4:I$10000)</f>
        <v>2.3405716732132768E-3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118.02136086279887</v>
      </c>
      <c r="G26" s="1" cm="1">
        <f t="array" ref="G26">SUMPRODUCT(("DSL"=[1]OUT_PrimaryEnergyCons!$C$4:$C$10000)*1,[1]OUT_PrimaryEnergyCons!E$4:E$10000)</f>
        <v>112.67289081329531</v>
      </c>
      <c r="H26" s="1" cm="1">
        <f t="array" ref="H26">SUMPRODUCT(("DSL"=[1]OUT_PrimaryEnergyCons!$C$4:$C$10000)*1,[1]OUT_PrimaryEnergyCons!F$4:F$10000)</f>
        <v>95.833136669535776</v>
      </c>
      <c r="I26" s="1" cm="1">
        <f t="array" ref="I26">SUMPRODUCT(("DSL"=[1]OUT_PrimaryEnergyCons!$C$4:$C$10000)*1,[1]OUT_PrimaryEnergyCons!G$4:G$10000)</f>
        <v>66.372910757396625</v>
      </c>
      <c r="J26" s="1" cm="1">
        <f t="array" ref="J26">SUMPRODUCT(("DSL"=[2]OUT_PrimaryEnergyCons!$C$4:$C$10000)*1,[2]OUT_PrimaryEnergyCons!H$4:H$10000)</f>
        <v>37.083139905459859</v>
      </c>
      <c r="K26" s="1" cm="1">
        <f t="array" ref="K26">SUMPRODUCT(("DSL"=[2]OUT_PrimaryEnergyCons!$C$4:$C$10000)*1,[2]OUT_PrimaryEnergyCons!I$4:I$10000)</f>
        <v>27.816150741896529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80.162897171800836</v>
      </c>
      <c r="G27" s="1" cm="1">
        <f t="array" ref="G27">SUMPRODUCT(("GSL"=[1]OUT_PrimaryEnergyCons!$C$4:$C$10000)*1,[1]OUT_PrimaryEnergyCons!E$4:E$10000)</f>
        <v>74.141235120800587</v>
      </c>
      <c r="H27" s="1" cm="1">
        <f t="array" ref="H27">SUMPRODUCT(("GSL"=[1]OUT_PrimaryEnergyCons!$C$4:$C$10000)*1,[1]OUT_PrimaryEnergyCons!F$4:F$10000)</f>
        <v>70.941915448230887</v>
      </c>
      <c r="I27" s="1" cm="1">
        <f t="array" ref="I27">SUMPRODUCT(("GSL"=[1]OUT_PrimaryEnergyCons!$C$4:$C$10000)*1,[1]OUT_PrimaryEnergyCons!G$4:G$10000)</f>
        <v>42.689454944766659</v>
      </c>
      <c r="J27" s="1" cm="1">
        <f t="array" ref="J27">SUMPRODUCT(("GSL"=[2]OUT_PrimaryEnergyCons!$C$4:$C$10000)*1,[2]OUT_PrimaryEnergyCons!H$4:H$10000)</f>
        <v>17.709412826377505</v>
      </c>
      <c r="K27" s="1" cm="1">
        <f t="array" ref="K27">SUMPRODUCT(("GSL"=[2]OUT_PrimaryEnergyCons!$C$4:$C$10000)*1,[2]OUT_PrimaryEnergyCons!I$4:I$10000)</f>
        <v>6.963517933314848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1.1078033007930141</v>
      </c>
      <c r="G28" s="1" cm="1">
        <f t="array" ref="G28">SUMPRODUCT(("KER"=[1]OUT_PrimaryEnergyCons!$C$4:$C$10000)*1,[1]OUT_PrimaryEnergyCons!E$4:E$10000)</f>
        <v>1.4051293075674922</v>
      </c>
      <c r="H28" s="1" cm="1">
        <f t="array" ref="H28">SUMPRODUCT(("KER"=[1]OUT_PrimaryEnergyCons!$C$4:$C$10000)*1,[1]OUT_PrimaryEnergyCons!F$4:F$10000)</f>
        <v>1.8478953992403317</v>
      </c>
      <c r="I28" s="1" cm="1">
        <f t="array" ref="I28">SUMPRODUCT(("KER"=[1]OUT_PrimaryEnergyCons!$C$4:$C$10000)*1,[1]OUT_PrimaryEnergyCons!G$4:G$10000)</f>
        <v>2.583294479403254</v>
      </c>
      <c r="J28" s="1" cm="1">
        <f t="array" ref="J28">SUMPRODUCT(("KER"=[2]OUT_PrimaryEnergyCons!$C$4:$C$10000)*1,[2]OUT_PrimaryEnergyCons!H$4:H$10000)</f>
        <v>2.5879628064481404</v>
      </c>
      <c r="K28" s="1" cm="1">
        <f t="array" ref="K28">SUMPRODUCT(("KER"=[2]OUT_PrimaryEnergyCons!$C$4:$C$10000)*1,[2]OUT_PrimaryEnergyCons!I$4:I$10000)</f>
        <v>2.1510137123604878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6.7946892090365472</v>
      </c>
      <c r="G29" s="1">
        <f t="shared" ref="G29:K29" si="25">SUM(G30:G32)</f>
        <v>6.6719752231372595</v>
      </c>
      <c r="H29" s="1">
        <f t="shared" si="25"/>
        <v>7.7663879603868562</v>
      </c>
      <c r="I29" s="1">
        <f t="shared" si="25"/>
        <v>11.891590091915837</v>
      </c>
      <c r="J29" s="1">
        <f t="shared" si="25"/>
        <v>21.156547929380402</v>
      </c>
      <c r="K29" s="1">
        <f t="shared" si="25"/>
        <v>32.456696322281815</v>
      </c>
      <c r="L29" s="1">
        <f t="shared" ref="L29" si="26">SUM(L30:L32)</f>
        <v>81.647570857029805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2.3589789319279117</v>
      </c>
      <c r="G30" s="1" cm="1">
        <f t="array" ref="G30">SUMPRODUCT(ISNUMBER(SEARCH("IMPBDS",[1]OUT_SyntheticFuels!$C$4:$C$1000))*1,("Var_Fout"=[1]OUT_SyntheticFuels!$B$4:$B$1000)*1,[1]OUT_SyntheticFuels!F$4:F$1000)-G32</f>
        <v>2.3779261535037022</v>
      </c>
      <c r="H30" s="1" cm="1">
        <f t="array" ref="H30">SUMPRODUCT(ISNUMBER(SEARCH("IMPBDS",[1]OUT_SyntheticFuels!$C$4:$C$1000))*1,("Var_Fout"=[1]OUT_SyntheticFuels!$B$4:$B$1000)*1,[1]OUT_SyntheticFuels!G$4:G$1000)-H32</f>
        <v>3.8651796932590994</v>
      </c>
      <c r="I30" s="1" cm="1">
        <f t="array" ref="I30">SUMPRODUCT(ISNUMBER(SEARCH("IMPBDS",[1]OUT_SyntheticFuels!$C$4:$C$1000))*1,("Var_Fout"=[1]OUT_SyntheticFuels!$B$4:$B$1000)*1,[1]OUT_SyntheticFuels!H$4:H$1000)-I32</f>
        <v>4.40286430881621</v>
      </c>
      <c r="J30" s="1" cm="1">
        <f t="array" ref="J30">SUMPRODUCT(ISNUMBER(SEARCH("IMPBDS",[2]OUT_SyntheticFuels!$C$4:$C$1000))*1,("Var_Fout"=[2]OUT_SyntheticFuels!$B$4:$B$1000)*1,[2]OUT_SyntheticFuels!I$4:I$1000)-J32</f>
        <v>3.6491925410615771</v>
      </c>
      <c r="K30" s="1" cm="1">
        <f t="array" ref="K30">SUMPRODUCT(ISNUMBER(SEARCH("IMPBDS",[2]OUT_SyntheticFuels!$C$4:$C$1000))*1,("Var_Fout"=[2]OUT_SyntheticFuels!$B$4:$B$1000)*1,[2]OUT_SyntheticFuels!J$4:J$1000)-K32</f>
        <v>3.6502130821285945</v>
      </c>
      <c r="L30" s="1" cm="1">
        <f t="array" ref="L30">SUMPRODUCT(ISNUMBER(SEARCH("IMPBDS",[2]OUT_SyntheticFuels!$C$4:$C$1000))*1,("Var_Fout"=[2]OUT_SyntheticFuels!$B$4:$B$1000)*1,[2]OUT_SyntheticFuels!K$4:K$1000)-L32</f>
        <v>3.1146550727882101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4.434150414358708</v>
      </c>
      <c r="G31" s="1" cm="1">
        <f t="array" ref="G31">SUMPRODUCT(ISNUMBER(SEARCH("IMPeth",[1]OUT_SyntheticFuels!$C$4:$C$1000))*1,("Var_Fout"=[1]OUT_SyntheticFuels!$B$4:$B$1000)*1,[1]OUT_SyntheticFuels!F$4:F$1000)</f>
        <v>4.2939626316965818</v>
      </c>
      <c r="H31" s="1" cm="1">
        <f t="array" ref="H31">SUMPRODUCT(ISNUMBER(SEARCH("IMPeth",[1]OUT_SyntheticFuels!$C$4:$C$1000))*1,("Var_Fout"=[1]OUT_SyntheticFuels!$B$4:$B$1000)*1,[1]OUT_SyntheticFuels!G$4:G$1000)</f>
        <v>3.9001596957830569</v>
      </c>
      <c r="I31" s="1" cm="1">
        <f t="array" ref="I31">SUMPRODUCT(ISNUMBER(SEARCH("IMPeth",[1]OUT_SyntheticFuels!$C$4:$C$1000))*1,("Var_Fout"=[1]OUT_SyntheticFuels!$B$4:$B$1000)*1,[1]OUT_SyntheticFuels!H$4:H$1000)</f>
        <v>2.4724733989232108</v>
      </c>
      <c r="J31" s="1" cm="1">
        <f t="array" ref="J31">SUMPRODUCT(ISNUMBER(SEARCH("IMPeth",[2]OUT_SyntheticFuels!$C$4:$C$1000))*1,("Var_Fout"=[2]OUT_SyntheticFuels!$B$4:$B$1000)*1,[2]OUT_SyntheticFuels!I$4:I$1000)</f>
        <v>1.0260228698292468</v>
      </c>
      <c r="K31" s="1" cm="1">
        <f t="array" ref="K31">SUMPRODUCT(ISNUMBER(SEARCH("IMPeth",[2]OUT_SyntheticFuels!$C$4:$C$1000))*1,("Var_Fout"=[2]OUT_SyntheticFuels!$B$4:$B$1000)*1,[2]OUT_SyntheticFuels!J$4:J$1000)</f>
        <v>0.99829868041823822</v>
      </c>
      <c r="L31" s="1" cm="1">
        <f t="array" ref="L31">SUMPRODUCT(ISNUMBER(SEARCH("IMPeth",[2]OUT_SyntheticFuels!$C$4:$C$1000))*1,("Var_Fout"=[2]OUT_SyntheticFuels!$B$4:$B$1000)*1,[2]OUT_SyntheticFuels!K$4:K$1000)</f>
        <v>0.91999887324786545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1.5598627499279101E-3</v>
      </c>
      <c r="G32" s="1">
        <f>SUM([1]Transport_Aviation_Intl!C$12,[1]Transport!C$28)</f>
        <v>8.6437936975150299E-5</v>
      </c>
      <c r="H32" s="1">
        <f>SUM([1]Transport_Aviation_Intl!D$12,[1]Transport!D$28)</f>
        <v>1.04857134470043E-3</v>
      </c>
      <c r="I32" s="1">
        <f>SUM([1]Transport_Aviation_Intl!E$12,[1]Transport!E$28)</f>
        <v>5.0162523841764157</v>
      </c>
      <c r="J32" s="1">
        <f>SUM([2]Transport_Aviation_Intl!F$12,[2]Transport!F$28)</f>
        <v>16.481332518489577</v>
      </c>
      <c r="K32" s="1">
        <f>SUM([2]Transport_Aviation_Intl!G$12,[2]Transport!G$28)</f>
        <v>27.808184559734983</v>
      </c>
      <c r="L32" s="1">
        <f>SUM([2]Transport_Aviation_Intl!H$12,[2]Transport!H$28)</f>
        <v>77.612916910993732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6.7946892090365472</v>
      </c>
      <c r="G33" s="1">
        <f t="shared" si="27"/>
        <v>6.6719752231372595</v>
      </c>
      <c r="H33" s="1">
        <f t="shared" si="27"/>
        <v>7.7663879603868562</v>
      </c>
      <c r="I33" s="1">
        <f t="shared" si="27"/>
        <v>11.891590091915837</v>
      </c>
      <c r="J33" s="1">
        <f t="shared" si="27"/>
        <v>9.6914677950672399</v>
      </c>
      <c r="K33" s="1">
        <f>SUM(K34:K36)</f>
        <v>21.129844281036409</v>
      </c>
      <c r="L33" s="1">
        <f>SUM(L34:L36)</f>
        <v>31.842838505771059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2.3589789319279117</v>
      </c>
      <c r="G34" s="1">
        <f t="shared" si="28"/>
        <v>2.3779261535037022</v>
      </c>
      <c r="H34" s="1">
        <f t="shared" si="28"/>
        <v>3.8651796932590994</v>
      </c>
      <c r="I34" s="1">
        <f t="shared" si="28"/>
        <v>4.40286430881621</v>
      </c>
      <c r="J34" s="1">
        <f>IF(J30-MAX(F30:I30)&lt;0,J30,MAX(F30:I30))</f>
        <v>3.6491925410615771</v>
      </c>
      <c r="K34" s="1">
        <f>IF(K30-MAX(F30:J30)&lt;0,K30,MAX(F30:J30))</f>
        <v>3.6502130821285945</v>
      </c>
      <c r="L34" s="1">
        <f>IF(L30-MAX(G30:K30)&lt;0,L30,MAX(G30:K30))</f>
        <v>3.1146550727882101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4.434150414358708</v>
      </c>
      <c r="G35" s="1">
        <f t="shared" si="28"/>
        <v>4.2939626316965818</v>
      </c>
      <c r="H35" s="1">
        <f t="shared" si="28"/>
        <v>3.9001596957830569</v>
      </c>
      <c r="I35" s="1">
        <f t="shared" si="28"/>
        <v>2.4724733989232108</v>
      </c>
      <c r="J35" s="1">
        <f>IF(J31-MAX(F31:I31)&lt;0,J31,MAX(F31:I31))</f>
        <v>1.0260228698292468</v>
      </c>
      <c r="K35" s="1">
        <f>IF(K31-MAX(F31:J31)&lt;0,K31,MAX(F31:J31))</f>
        <v>0.99829868041823822</v>
      </c>
      <c r="L35" s="1">
        <f>IF(L31-MAX(G31:K31)&lt;0,L31,MAX(G31:K31))</f>
        <v>0.91999887324786545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1.5598627499279101E-3</v>
      </c>
      <c r="G36" s="1">
        <f>SUM([1]Transport!C$28,[1]Transport_Aviation_Intl!C$12)</f>
        <v>8.6437936975150299E-5</v>
      </c>
      <c r="H36" s="1">
        <f>SUM([1]Transport!D$28,[1]Transport_Aviation_Intl!D$12)</f>
        <v>1.04857134470043E-3</v>
      </c>
      <c r="I36" s="1">
        <f>SUM([1]Transport!E$28,[1]Transport_Aviation_Intl!E$12)</f>
        <v>5.0162523841764157</v>
      </c>
      <c r="J36" s="1">
        <f>IF(J32-MAX(F32:I32)&lt;0,J32,MAX(F32:I32))</f>
        <v>5.0162523841764157</v>
      </c>
      <c r="K36" s="1">
        <f>IF(K32-MAX(G32:J32)&lt;0,K32,MAX(G32:J32))</f>
        <v>16.481332518489577</v>
      </c>
      <c r="L36" s="1">
        <f>IF(L32-MAX(H32:K32)&lt;0,L32,MAX(H32:K32))</f>
        <v>27.808184559734983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11.465080134313162</v>
      </c>
      <c r="K37" s="1">
        <f t="shared" si="29"/>
        <v>11.326852041245406</v>
      </c>
      <c r="L37" s="1">
        <f t="shared" ref="L37" si="30">SUM(L38:L40)</f>
        <v>49.80473235125875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11.465080134313162</v>
      </c>
      <c r="K40" s="1">
        <f t="shared" si="31"/>
        <v>11.326852041245406</v>
      </c>
      <c r="L40" s="1">
        <f t="shared" ref="L40" si="34">L32-L36</f>
        <v>49.80473235125875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117.15976749455412</v>
      </c>
      <c r="G41" s="1">
        <f t="shared" ref="G41:K41" si="36">G42+G45</f>
        <v>107.2365007664997</v>
      </c>
      <c r="H41" s="1">
        <f t="shared" si="36"/>
        <v>104.56775421809458</v>
      </c>
      <c r="I41" s="1">
        <f t="shared" si="36"/>
        <v>76.748450188333578</v>
      </c>
      <c r="J41" s="1">
        <f t="shared" si="36"/>
        <v>51.351821912688841</v>
      </c>
      <c r="K41" s="1">
        <f t="shared" si="36"/>
        <v>32.682097900829817</v>
      </c>
      <c r="L41" s="1">
        <f t="shared" ref="L41" si="37">L42+L45</f>
        <v>12.948027543649305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117.15976749455412</v>
      </c>
      <c r="G42" s="1">
        <f t="shared" ref="G42:K42" si="38">G43+G44</f>
        <v>106.72000044170612</v>
      </c>
      <c r="H42" s="1">
        <f t="shared" si="38"/>
        <v>103.7806712895097</v>
      </c>
      <c r="I42" s="1">
        <f t="shared" si="38"/>
        <v>72.940579807761196</v>
      </c>
      <c r="J42" s="1">
        <f t="shared" si="38"/>
        <v>45.421319960270274</v>
      </c>
      <c r="K42" s="1">
        <f t="shared" si="38"/>
        <v>26.725434044483688</v>
      </c>
      <c r="L42" s="1">
        <f t="shared" ref="L42" si="39">L43+L44</f>
        <v>10.201734632326364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117.15976749455412</v>
      </c>
      <c r="G43" s="1" cm="1">
        <f t="array" ref="G43">SUMPRODUCT(("NGA"=[1]OUT_PrimaryEnergyCons!$C$4:$C$10000)*1,[1]OUT_PrimaryEnergyCons!E$4:E$10000)</f>
        <v>106.72000044170612</v>
      </c>
      <c r="H43" s="1" cm="1">
        <f t="array" ref="H43">SUMPRODUCT(("NGA"=[1]OUT_PrimaryEnergyCons!$C$4:$C$10000)*1,[1]OUT_PrimaryEnergyCons!F$4:F$10000)</f>
        <v>103.7806712895097</v>
      </c>
      <c r="I43" s="1" cm="1">
        <f t="array" ref="I43">SUMPRODUCT(("NGA"=[1]OUT_PrimaryEnergyCons!$C$4:$C$10000)*1,[1]OUT_PrimaryEnergyCons!G$4:G$10000)</f>
        <v>72.939768068016818</v>
      </c>
      <c r="J43" s="1" cm="1">
        <f t="array" ref="J43">SUMPRODUCT(("NGA"=[2]OUT_PrimaryEnergyCons!$C$4:$C$10000)*1,[2]OUT_PrimaryEnergyCons!H$4:H$10000)</f>
        <v>45.42093944269913</v>
      </c>
      <c r="K43" s="1" cm="1">
        <f t="array" ref="K43">SUMPRODUCT(("NGA"=[2]OUT_PrimaryEnergyCons!$C$4:$C$10000)*1,[2]OUT_PrimaryEnergyCons!I$4:I$10000)</f>
        <v>26.725073675349602</v>
      </c>
      <c r="L43" s="1" cm="1">
        <f t="array" ref="L43">SUMPRODUCT(("NGA"=[2]OUT_PrimaryEnergyCons!$C$4:$C$10000)*1,[2]OUT_PrimaryEnergyCons!J$4:J$10000)</f>
        <v>10.200778509430545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8.1173974437481744E-4</v>
      </c>
      <c r="J44" s="1" cm="1">
        <f t="array" ref="J44">SUMPRODUCT(("LNGA"=[2]OUT_PrimaryEnergyCons!$C$4:$C$10000)*1,[2]OUT_PrimaryEnergyCons!H$4:H$10000)</f>
        <v>3.8051757114420986E-4</v>
      </c>
      <c r="K44" s="1" cm="1">
        <f t="array" ref="K44">SUMPRODUCT(("LNGA"=[2]OUT_PrimaryEnergyCons!$C$4:$C$10000)*1,[2]OUT_PrimaryEnergyCons!I$4:I$10000)</f>
        <v>3.6036913408411846E-4</v>
      </c>
      <c r="L44" s="1" cm="1">
        <f t="array" ref="L44">SUMPRODUCT(("LNGA"=[2]OUT_PrimaryEnergyCons!$C$4:$C$10000)*1,[2]OUT_PrimaryEnergyCons!J$4:J$10000)</f>
        <v>9.5612289581754374E-4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0.51650032479358865</v>
      </c>
      <c r="H45" s="1" cm="1">
        <f t="array" ref="H45">SUMPRODUCT(("BIO"=[1]OUT_PrimaryEnergyCons!$C$4:$C$10000)*1+("LBIO"=[1]OUT_PrimaryEnergyCons!$C$4:$C$10000)*1,[1]OUT_PrimaryEnergyCons!F$4:F$10000)</f>
        <v>0.78708292858487594</v>
      </c>
      <c r="I45" s="1" cm="1">
        <f t="array" ref="I45">SUMPRODUCT(("BIO"=[1]OUT_PrimaryEnergyCons!$C$4:$C$10000)*1+("LBIO"=[1]OUT_PrimaryEnergyCons!$C$4:$C$10000)*1,[1]OUT_PrimaryEnergyCons!G$4:G$10000)</f>
        <v>3.8078703805723748</v>
      </c>
      <c r="J45" s="1" cm="1">
        <f t="array" ref="J45">SUMPRODUCT(("BIO"=[2]OUT_PrimaryEnergyCons!$C$4:$C$10000)*1+("LBIO"=[2]OUT_PrimaryEnergyCons!$C$4:$C$10000)*1,[2]OUT_PrimaryEnergyCons!H$4:H$10000)</f>
        <v>5.9305019524185649</v>
      </c>
      <c r="K45" s="1" cm="1">
        <f t="array" ref="K45">SUMPRODUCT(("BIO"=[2]OUT_PrimaryEnergyCons!$C$4:$C$10000)*1+("LBIO"=[2]OUT_PrimaryEnergyCons!$C$4:$C$10000)*1,[2]OUT_PrimaryEnergyCons!I$4:I$10000)</f>
        <v>5.9566638563461272</v>
      </c>
      <c r="L45" s="1" cm="1">
        <f t="array" ref="L45">SUMPRODUCT(("BIO"=[2]OUT_PrimaryEnergyCons!$C$4:$C$10000)*1+("LBIO"=[2]OUT_PrimaryEnergyCons!$C$4:$C$10000)*1,[2]OUT_PrimaryEnergyCons!J$4:J$10000)</f>
        <v>2.7462929113229411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0.51650032479358865</v>
      </c>
      <c r="H46" s="1">
        <f t="shared" si="41"/>
        <v>0.78708292858487594</v>
      </c>
      <c r="I46" s="1">
        <f t="shared" si="41"/>
        <v>3.8078703805723748</v>
      </c>
      <c r="J46" s="1">
        <f t="shared" si="41"/>
        <v>3.8078703805723748</v>
      </c>
      <c r="K46" s="1">
        <f t="shared" si="41"/>
        <v>5.9305019524185649</v>
      </c>
      <c r="L46" s="1">
        <f t="shared" si="41"/>
        <v>2.7462929113229411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0.51650032479358865</v>
      </c>
      <c r="H47" s="1">
        <f>H45</f>
        <v>0.78708292858487594</v>
      </c>
      <c r="I47" s="1">
        <f>I45</f>
        <v>3.8078703805723748</v>
      </c>
      <c r="J47" s="1">
        <f>IF(J45-MAX(F45:I45)&lt;0,J45,MAX(F45:I45))</f>
        <v>3.8078703805723748</v>
      </c>
      <c r="K47" s="1">
        <f>IF(K45-MAX(G45:J45)&lt;0,K45,MAX(G45:J45))</f>
        <v>5.9305019524185649</v>
      </c>
      <c r="L47" s="1">
        <f>IF(L45-MAX(H45:K45)&lt;0,L45,MAX(H45:K45))</f>
        <v>2.7462929113229411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2.1226315718461901</v>
      </c>
      <c r="K48" s="1">
        <f t="shared" si="42"/>
        <v>2.6161903927562236E-2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2.1226315718461901</v>
      </c>
      <c r="K49" s="1">
        <f>K45-K47</f>
        <v>2.6161903927562236E-2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250.94818946672058</v>
      </c>
      <c r="G50" s="1" cm="1">
        <f t="array" ref="G50">SUMPRODUCT(("urn"=[1]OUT_PrimaryEnergyCons!$C$4:$C$10000)*1,[1]OUT_PrimaryEnergyCons!E$4:E$10000)</f>
        <v>253.29988506627492</v>
      </c>
      <c r="H50" s="1" cm="1">
        <f t="array" ref="H50">SUMPRODUCT(("urn"=[1]OUT_PrimaryEnergyCons!$C$4:$C$10000)*1,[1]OUT_PrimaryEnergyCons!F$4:F$10000)</f>
        <v>232.95381994855765</v>
      </c>
      <c r="I50" s="1" cm="1">
        <f t="array" ref="I50">SUMPRODUCT(("urn"=[1]OUT_PrimaryEnergyCons!$C$4:$C$10000)*1,[1]OUT_PrimaryEnergyCons!G$4:G$10000)</f>
        <v>210.9902588219237</v>
      </c>
      <c r="J50" s="1" cm="1">
        <f t="array" ref="J50">SUMPRODUCT(("urn"=[2]OUT_PrimaryEnergyCons!$C$4:$C$10000)*1,[2]OUT_PrimaryEnergyCons!H$4:H$10000)</f>
        <v>190.50116506642982</v>
      </c>
      <c r="K50" s="1" cm="1">
        <f t="array" ref="K50">SUMPRODUCT(("urn"=[2]OUT_PrimaryEnergyCons!$C$4:$C$10000)*1,[2]OUT_PrimaryEnergyCons!I$4:I$10000)</f>
        <v>190.50117069540971</v>
      </c>
      <c r="L50" s="1" cm="1">
        <f t="array" ref="L50">SUMPRODUCT(("urn"=[2]OUT_PrimaryEnergyCons!$C$4:$C$10000)*1,[2]OUT_PrimaryEnergyCons!J$4:J$10000)</f>
        <v>285.77958126335932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97.160008342601444</v>
      </c>
      <c r="G51" s="1">
        <f t="shared" ref="G51:K51" si="46">SUM(G52:G55)</f>
        <v>50.27529393443843</v>
      </c>
      <c r="H51" s="1">
        <f t="shared" si="46"/>
        <v>50.451563596376587</v>
      </c>
      <c r="I51" s="1">
        <f t="shared" si="46"/>
        <v>50.724861990338482</v>
      </c>
      <c r="J51" s="1">
        <f t="shared" si="46"/>
        <v>54.133782720743383</v>
      </c>
      <c r="K51" s="1">
        <f t="shared" si="46"/>
        <v>41.125970110981434</v>
      </c>
      <c r="L51" s="1">
        <f t="shared" ref="L51" si="47">SUM(L52:L55)</f>
        <v>21.752485684231154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15.013808092334221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6.3280933042308334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3.2554288802233962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6.5749511855897653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0.70927589892867204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0.53525177534466084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0.6721966453101953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28.948623268472957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18.878911720049846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25.448015441977613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14.770930443495541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17.145275308807392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10.51580059908037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8.6911511696604169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46.398477674441637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25.067687804203928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21.747601703816116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29.378764352414553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36.279054057305885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30.074780478639148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12.389015032027013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6.7990993073526251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6.0110595382900308E-4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5.1757035946093267E-4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2.1600883862323052E-4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1.7745570142982601E-4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1.3725791724895523E-4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1.2283723352736004E-4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3.1175002270564613</v>
      </c>
      <c r="L56" s="1" cm="1">
        <f t="array" ref="L56">SUMPRODUCT(("h2"=[2]OUT_PrimaryEnergyCons!$C$4:$C$10000)*1,[2]OUT_PrimaryEnergyCons!J$4:J$10000)</f>
        <v>3.1175009709531154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117.17001036366335</v>
      </c>
      <c r="G57" s="3">
        <f t="shared" ref="G57:L57" si="51">G58</f>
        <v>35.116679435155007</v>
      </c>
      <c r="H57" s="3">
        <f t="shared" si="51"/>
        <v>72.940550587953538</v>
      </c>
      <c r="I57" s="3">
        <f t="shared" si="51"/>
        <v>69.555052959649089</v>
      </c>
      <c r="J57" s="3">
        <f t="shared" si="51"/>
        <v>38.824029930466338</v>
      </c>
      <c r="K57" s="3">
        <f t="shared" si="51"/>
        <v>22.504997486311076</v>
      </c>
      <c r="L57" s="3">
        <f t="shared" si="51"/>
        <v>17.36438173270054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117.17001036366335</v>
      </c>
      <c r="G58" s="1">
        <f t="shared" ref="G58:K58" si="52">SUM(G59:G62)</f>
        <v>35.116679435155007</v>
      </c>
      <c r="H58" s="1">
        <f t="shared" si="52"/>
        <v>72.940550587953538</v>
      </c>
      <c r="I58" s="1">
        <f t="shared" si="52"/>
        <v>69.555052959649089</v>
      </c>
      <c r="J58" s="1">
        <f t="shared" si="52"/>
        <v>38.824029930466338</v>
      </c>
      <c r="K58" s="1">
        <f t="shared" si="52"/>
        <v>22.504997486311076</v>
      </c>
      <c r="L58" s="1">
        <f t="shared" ref="L58" si="53">SUM(L59:L62)</f>
        <v>17.36438173270054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6.2295585931510447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9.6964418521045144E-4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1.3783057621634574E-3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2.7964286862505278E-4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1.5817253206116668E-4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1.5863187837719632E-4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1.0061548644319375E-4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12.753362206120997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8.9160510513948649E-4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9.5445108781468438E-4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2.5999837418098221E-3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5.175774361614575E-4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1.7337774922391803E-3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1.576933414873983E-3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26.492980719095737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7.1760488921404045E-4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8.9900510017724717E-4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3.7200592421887816E-3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1.3195547709733777E-3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2.9765412760564317E-3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3.833229938470529E-4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71.694108845295574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35.114100580975446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72.937318826003377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69.548453273796468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38.822034625727142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22.500128535664402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17.362320860805376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251.17403810178234</v>
      </c>
      <c r="G63" s="3">
        <f t="shared" ref="G63:K63" si="58">SUM(G64,G66,G74,G82,G130,G151,G159,G161,G169,G173,G167)</f>
        <v>229.30183754155561</v>
      </c>
      <c r="H63" s="3">
        <f t="shared" si="58"/>
        <v>254.97934526534522</v>
      </c>
      <c r="I63" s="3">
        <f t="shared" si="58"/>
        <v>285.13612226722273</v>
      </c>
      <c r="J63" s="3">
        <f t="shared" si="58"/>
        <v>281.85064888192687</v>
      </c>
      <c r="K63" s="3">
        <f t="shared" si="58"/>
        <v>286.89361388041397</v>
      </c>
      <c r="L63" s="3">
        <f t="shared" ref="L63" si="59">SUM(L64,L66,L74,L82,L130,L151,L159,L161,L169,L173,L167)</f>
        <v>323.99242902252962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82.760002789422501</v>
      </c>
      <c r="G64" s="1">
        <f t="shared" ref="G64:L64" si="60">+G65</f>
        <v>82.759969493476717</v>
      </c>
      <c r="H64" s="1">
        <f t="shared" si="60"/>
        <v>76.101858262133618</v>
      </c>
      <c r="I64" s="1">
        <f t="shared" si="60"/>
        <v>69.634768348065151</v>
      </c>
      <c r="J64" s="1">
        <f t="shared" si="60"/>
        <v>62.88231465556791</v>
      </c>
      <c r="K64" s="1">
        <f t="shared" si="60"/>
        <v>62.88231873374778</v>
      </c>
      <c r="L64" s="1">
        <f t="shared" si="60"/>
        <v>91.024219447841602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82.760002789422501</v>
      </c>
      <c r="G65" s="1">
        <f>'[1]Electricity and CHPs'!C14</f>
        <v>82.759969493476717</v>
      </c>
      <c r="H65" s="1">
        <f>'[1]Electricity and CHPs'!D14</f>
        <v>76.101858262133618</v>
      </c>
      <c r="I65" s="1">
        <f>'[1]Electricity and CHPs'!E14</f>
        <v>69.634768348065151</v>
      </c>
      <c r="J65" s="1">
        <f>'[2]Electricity and CHPs'!F14</f>
        <v>62.88231465556791</v>
      </c>
      <c r="K65" s="1">
        <f>'[2]Electricity and CHPs'!G14</f>
        <v>62.88231873374778</v>
      </c>
      <c r="L65" s="1">
        <f>'[2]Electricity and CHPs'!H14</f>
        <v>91.024219447841602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146.22000269693166</v>
      </c>
      <c r="G66" s="1">
        <f t="shared" ref="G66:K66" si="64">SUM(G67:G69)</f>
        <v>121.59814507801133</v>
      </c>
      <c r="H66" s="1">
        <f t="shared" si="64"/>
        <v>136.64264029544711</v>
      </c>
      <c r="I66" s="1">
        <f t="shared" si="64"/>
        <v>148.06923475979426</v>
      </c>
      <c r="J66" s="1">
        <f t="shared" si="64"/>
        <v>148.09268121411571</v>
      </c>
      <c r="K66" s="1">
        <f t="shared" si="64"/>
        <v>148.1232575577553</v>
      </c>
      <c r="L66" s="1">
        <f t="shared" ref="L66" si="65">SUM(L67:L69)</f>
        <v>148.18450148095323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66.745680112610472</v>
      </c>
      <c r="G67" s="1">
        <f>'[1]Electricity and CHPs'!C15</f>
        <v>49.798797638350962</v>
      </c>
      <c r="H67" s="1">
        <f>'[1]Electricity and CHPs'!D15</f>
        <v>69.090669467554392</v>
      </c>
      <c r="I67" s="1">
        <f>'[1]Electricity and CHPs'!E15</f>
        <v>70.809472620928375</v>
      </c>
      <c r="J67" s="1">
        <f>'[2]Electricity and CHPs'!F15</f>
        <v>71.582529759456136</v>
      </c>
      <c r="K67" s="1">
        <f>'[2]Electricity and CHPs'!G15</f>
        <v>72.666766131941159</v>
      </c>
      <c r="L67" s="1">
        <f>'[2]Electricity and CHPs'!H15</f>
        <v>74.835911068843586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66.632401302559771</v>
      </c>
      <c r="G68" s="1">
        <f>'[1]Electricity and CHPs'!C16</f>
        <v>55.763999499234785</v>
      </c>
      <c r="H68" s="1">
        <f>'[1]Electricity and CHPs'!D16</f>
        <v>65.55693882909793</v>
      </c>
      <c r="I68" s="1">
        <f>'[1]Electricity and CHPs'!E16</f>
        <v>64.509539778207909</v>
      </c>
      <c r="J68" s="1">
        <f>'[2]Electricity and CHPs'!F16</f>
        <v>63.734799571754991</v>
      </c>
      <c r="K68" s="1">
        <f>'[2]Electricity and CHPs'!G16</f>
        <v>62.650564855208074</v>
      </c>
      <c r="L68" s="1">
        <f>'[2]Electricity and CHPs'!H16</f>
        <v>60.481420553458335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12.841921281761417</v>
      </c>
      <c r="G69" s="1">
        <f>'[1]Electricity and CHPs'!C17</f>
        <v>16.035347940425574</v>
      </c>
      <c r="H69" s="1">
        <f>'[1]Electricity and CHPs'!D17</f>
        <v>1.9950319987947822</v>
      </c>
      <c r="I69" s="1">
        <f>'[1]Electricity and CHPs'!E17</f>
        <v>12.750222360657983</v>
      </c>
      <c r="J69" s="1">
        <f>'[2]Electricity and CHPs'!F17</f>
        <v>12.775351882904614</v>
      </c>
      <c r="K69" s="1">
        <f>'[2]Electricity and CHPs'!G17</f>
        <v>12.80592657060607</v>
      </c>
      <c r="L69" s="1">
        <f>'[2]Electricity and CHPs'!H17</f>
        <v>12.867169858651287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0.11188993089720992</v>
      </c>
      <c r="G70" s="1">
        <f t="shared" ref="G70" si="67">SUM(G71:G73)</f>
        <v>0.17152943751458308</v>
      </c>
      <c r="H70" s="1">
        <f t="shared" ref="H70" si="68">SUM(H71:H73)</f>
        <v>0.14437548245560447</v>
      </c>
      <c r="I70" s="1">
        <f t="shared" ref="I70" si="69">SUM(I71:I73)</f>
        <v>0.17153226884361139</v>
      </c>
      <c r="J70" s="1">
        <f t="shared" ref="J70" si="70">SUM(J71:J73)</f>
        <v>0.17153272679408529</v>
      </c>
      <c r="K70" s="1">
        <f t="shared" ref="K70:L70" si="71">SUM(K71:K73)</f>
        <v>0.17153524659421693</v>
      </c>
      <c r="L70" s="1">
        <f t="shared" si="71"/>
        <v>3.1881967550807996E-5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3.9602117544484207E-2</v>
      </c>
      <c r="G71" s="1">
        <f>'[1]Electricity and CHPs'!C18</f>
        <v>1.5129515172678207E-4</v>
      </c>
      <c r="H71" s="1">
        <f>'[1]Electricity and CHPs'!D18</f>
        <v>3.6958027479708595E-3</v>
      </c>
      <c r="I71" s="1">
        <f>'[1]Electricity and CHPs'!E18</f>
        <v>6.7804312634714068E-4</v>
      </c>
      <c r="J71" s="1">
        <f>'[2]Electricity and CHPs'!F18</f>
        <v>3.3539793274130469E-4</v>
      </c>
      <c r="K71" s="1">
        <f>'[2]Electricity and CHPs'!G18</f>
        <v>1.996380093038928E-3</v>
      </c>
      <c r="L71" s="1">
        <f>'[2]Electricity and CHPs'!H18</f>
        <v>2.5616486711682323E-5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1.8014121264497893E-3</v>
      </c>
      <c r="G72" s="1">
        <f>'[1]Electricity and CHPs'!C28</f>
        <v>1.1850233977799911E-4</v>
      </c>
      <c r="H72" s="1">
        <f>'[1]Electricity and CHPs'!D28</f>
        <v>6.9356284553894192E-4</v>
      </c>
      <c r="I72" s="1">
        <f>'[1]Electricity and CHPs'!E28</f>
        <v>9.4202712902187523E-4</v>
      </c>
      <c r="J72" s="1">
        <f>'[2]Electricity and CHPs'!F28</f>
        <v>1.4175635901808335E-4</v>
      </c>
      <c r="K72" s="1">
        <f>'[2]Electricity and CHPs'!G28</f>
        <v>0.169538866501178</v>
      </c>
      <c r="L72" s="1">
        <f>'[2]Electricity and CHPs'!H28</f>
        <v>6.2654808391256726E-6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7.0486401226275919E-2</v>
      </c>
      <c r="G73" s="1">
        <f>'[1]Electricity and CHPs'!C41</f>
        <v>0.17125964002307831</v>
      </c>
      <c r="H73" s="1">
        <f>'[1]Electricity and CHPs'!D41</f>
        <v>0.13998611686209467</v>
      </c>
      <c r="I73" s="1">
        <f>'[1]Electricity and CHPs'!E41</f>
        <v>0.16991219858824239</v>
      </c>
      <c r="J73" s="1">
        <f>'[2]Electricity and CHPs'!F41</f>
        <v>0.17105557250232589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0.11188993089720992</v>
      </c>
      <c r="G74" s="1">
        <f t="shared" ref="G74:K74" si="75">SUM(G75:G77)</f>
        <v>0.17152943751458308</v>
      </c>
      <c r="H74" s="1">
        <f t="shared" si="75"/>
        <v>0.14437548245560447</v>
      </c>
      <c r="I74" s="1">
        <f t="shared" si="75"/>
        <v>0.17153226884361139</v>
      </c>
      <c r="J74" s="1">
        <f t="shared" si="75"/>
        <v>0.17153272679408529</v>
      </c>
      <c r="K74" s="1">
        <f t="shared" si="75"/>
        <v>0.17153524659421693</v>
      </c>
      <c r="L74" s="1">
        <f t="shared" ref="L74" si="76">SUM(L75:L77)</f>
        <v>3.1881967550807996E-5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3.9602117544484207E-2</v>
      </c>
      <c r="G75" s="1">
        <f t="shared" ref="G75:K75" si="77">G71</f>
        <v>1.5129515172678207E-4</v>
      </c>
      <c r="H75" s="1">
        <f t="shared" si="77"/>
        <v>3.6958027479708595E-3</v>
      </c>
      <c r="I75" s="1">
        <f t="shared" si="77"/>
        <v>6.7804312634714068E-4</v>
      </c>
      <c r="J75" s="1">
        <f t="shared" si="77"/>
        <v>3.3539793274130469E-4</v>
      </c>
      <c r="K75" s="1">
        <f t="shared" si="77"/>
        <v>1.996380093038928E-3</v>
      </c>
      <c r="L75" s="1">
        <f t="shared" ref="L75" si="78">L71</f>
        <v>2.5616486711682323E-5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1.8014121264497893E-3</v>
      </c>
      <c r="G76" s="1">
        <f>'[1]Electricity and CHPs'!C28</f>
        <v>1.1850233977799911E-4</v>
      </c>
      <c r="H76" s="1">
        <f>'[1]Electricity and CHPs'!D28</f>
        <v>6.9356284553894192E-4</v>
      </c>
      <c r="I76" s="1">
        <f>'[1]Electricity and CHPs'!E28</f>
        <v>9.4202712902187523E-4</v>
      </c>
      <c r="J76" s="1">
        <f>'[2]Electricity and CHPs'!F28</f>
        <v>1.4175635901808335E-4</v>
      </c>
      <c r="K76" s="1">
        <f>'[2]Electricity and CHPs'!G28</f>
        <v>0.169538866501178</v>
      </c>
      <c r="L76" s="1">
        <f>'[2]Electricity and CHPs'!H28</f>
        <v>6.2654808391256726E-6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7.0486401226275919E-2</v>
      </c>
      <c r="G77" s="1">
        <f>'[1]Electricity and CHPs'!C41</f>
        <v>0.17125964002307831</v>
      </c>
      <c r="H77" s="1">
        <f>'[1]Electricity and CHPs'!D41</f>
        <v>0.13998611686209467</v>
      </c>
      <c r="I77" s="1">
        <f>'[1]Electricity and CHPs'!E41</f>
        <v>0.16991219858824239</v>
      </c>
      <c r="J77" s="1">
        <f>'[2]Electricity and CHPs'!F41</f>
        <v>0.17105557250232589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3.2357691751686968</v>
      </c>
      <c r="G82" s="1">
        <f t="shared" ref="G82:K82" si="82">SUM(G83:G97)</f>
        <v>1.8610626090882534</v>
      </c>
      <c r="H82" s="1">
        <f t="shared" si="82"/>
        <v>1.7687876282256165</v>
      </c>
      <c r="I82" s="1">
        <f t="shared" si="82"/>
        <v>1.7759452649436744</v>
      </c>
      <c r="J82" s="1">
        <f t="shared" si="82"/>
        <v>1.704072171872087</v>
      </c>
      <c r="K82" s="1">
        <f t="shared" si="82"/>
        <v>2.1620769420361086</v>
      </c>
      <c r="L82" s="1">
        <f t="shared" ref="L82" si="83">SUM(L83:L97)</f>
        <v>1.2988023167293641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4.5695460708219943E-6</v>
      </c>
      <c r="L83" s="1">
        <f>'[2]Electricity and CHPs'!H21</f>
        <v>2.7255800190694704E-3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1.19051821600124E-8</v>
      </c>
      <c r="L84" s="1">
        <f>'[2]Electricity and CHPs'!H22</f>
        <v>1.3816196104283317E-3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0.96588280742748445</v>
      </c>
      <c r="G86" s="1">
        <f>'[1]Electricity and CHPs'!C24</f>
        <v>2.8059471014246066E-3</v>
      </c>
      <c r="H86" s="1">
        <f>'[1]Electricity and CHPs'!D24</f>
        <v>3.4951461761179078E-3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0.66997057947010752</v>
      </c>
      <c r="G88" s="1">
        <f>'[1]Electricity and CHPs'!C39</f>
        <v>9.0842909446420594E-2</v>
      </c>
      <c r="H88" s="1">
        <f>'[1]Electricity and CHPs'!D39</f>
        <v>0.541985599540868</v>
      </c>
      <c r="I88" s="1">
        <f>'[1]Electricity and CHPs'!E39</f>
        <v>0.66939607373008947</v>
      </c>
      <c r="J88" s="1">
        <f>'[2]Electricity and CHPs'!F39</f>
        <v>9.6365523902155137E-2</v>
      </c>
      <c r="K88" s="1">
        <f>'[2]Electricity and CHPs'!G39</f>
        <v>0.59944437048296584</v>
      </c>
      <c r="L88" s="1">
        <f>'[2]Electricity and CHPs'!H39</f>
        <v>0.11907357390308206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6.9241538316038312E-2</v>
      </c>
      <c r="L89" s="1">
        <f>'[2]Electricity and CHPs'!H40</f>
        <v>6.8857338469117166E-2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5.7305147420061789E-4</v>
      </c>
      <c r="J90" s="1">
        <f>'[2]Electricity and CHPs'!F47</f>
        <v>4.6362275584475485E-4</v>
      </c>
      <c r="K90" s="1">
        <f>'[2]Electricity and CHPs'!G47</f>
        <v>1.2917531580356144E-3</v>
      </c>
      <c r="L90" s="1">
        <f>'[2]Electricity and CHPs'!H47</f>
        <v>8.2240145944858644E-4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1.6198200594599303E-2</v>
      </c>
      <c r="G91" s="1">
        <f>'[1]Electricity and CHPs'!C48</f>
        <v>5.4892708298964477E-3</v>
      </c>
      <c r="H91" s="1">
        <f>'[1]Electricity and CHPs'!D48</f>
        <v>1.0402426896719216E-2</v>
      </c>
      <c r="I91" s="1">
        <f>'[1]Electricity and CHPs'!E48</f>
        <v>0</v>
      </c>
      <c r="J91" s="1">
        <f>'[2]Electricity and CHPs'!F48</f>
        <v>2.7772049432799123E-2</v>
      </c>
      <c r="K91" s="1">
        <f>'[2]Electricity and CHPs'!G48</f>
        <v>1.3539356329734355E-2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2.9942289115529794E-2</v>
      </c>
      <c r="G93" s="1">
        <f>'[1]Electricity and CHPs'!C51</f>
        <v>3.005125198749773E-2</v>
      </c>
      <c r="H93" s="1">
        <f>'[1]Electricity and CHPs'!D51</f>
        <v>7.2445999455099219E-2</v>
      </c>
      <c r="I93" s="1">
        <f>'[1]Electricity and CHPs'!E51</f>
        <v>0</v>
      </c>
      <c r="J93" s="1">
        <f>'[2]Electricity and CHPs'!F51</f>
        <v>0.28995037339711227</v>
      </c>
      <c r="K93" s="1">
        <f>'[2]Electricity and CHPs'!G51</f>
        <v>0.13216501816903353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0.95936871776915844</v>
      </c>
      <c r="G95" s="1">
        <f>'[1]Electricity and CHPs'!C54</f>
        <v>1.1059702189378271</v>
      </c>
      <c r="H95" s="1">
        <f>'[1]Electricity and CHPs'!D54</f>
        <v>1.1059691502201241</v>
      </c>
      <c r="I95" s="1">
        <f>'[1]Electricity and CHPs'!E54</f>
        <v>1.1059761397393844</v>
      </c>
      <c r="J95" s="1">
        <f>'[2]Electricity and CHPs'!F54</f>
        <v>1.105942244452869</v>
      </c>
      <c r="K95" s="1">
        <f>'[2]Electricity and CHPs'!G54</f>
        <v>1.1059419488828197</v>
      </c>
      <c r="L95" s="1">
        <f>'[2]Electricity and CHPs'!H54</f>
        <v>1.1059418032682184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0.5944065807918173</v>
      </c>
      <c r="G96" s="1">
        <f>'[1]Electricity and CHPs'!C55</f>
        <v>0.62590301078518684</v>
      </c>
      <c r="H96" s="1">
        <f>'[1]Electricity and CHPs'!D55</f>
        <v>3.4489305936688121E-2</v>
      </c>
      <c r="I96" s="1">
        <f>'[1]Electricity and CHPs'!E55</f>
        <v>0</v>
      </c>
      <c r="J96" s="1">
        <f>'[2]Electricity and CHPs'!F55</f>
        <v>0.18357835793130681</v>
      </c>
      <c r="K96" s="1">
        <f>'[2]Electricity and CHPs'!G55</f>
        <v>0.24044837524622845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2.2175379821210299</v>
      </c>
      <c r="G98" s="1">
        <f t="shared" ref="G98:K98" si="88">G82-G114</f>
        <v>0.72452951906922025</v>
      </c>
      <c r="H98" s="1">
        <f t="shared" si="88"/>
        <v>0.62664434533788316</v>
      </c>
      <c r="I98" s="1">
        <f t="shared" si="88"/>
        <v>0.60668236598984193</v>
      </c>
      <c r="J98" s="1">
        <f t="shared" si="88"/>
        <v>0.58012539659639772</v>
      </c>
      <c r="K98" s="1">
        <f t="shared" si="88"/>
        <v>0.85664723508231422</v>
      </c>
      <c r="L98" s="1">
        <f t="shared" ref="L98" si="89">L82-L114</f>
        <v>2.5888092418435704E-5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3.7064286597146778E-6</v>
      </c>
      <c r="L99" s="1">
        <f t="shared" ref="L99" si="91">L83-L115</f>
        <v>3.6586062206796915E-7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9.6564752106889865E-9</v>
      </c>
      <c r="L100" s="1">
        <f t="shared" ref="L100" si="93">L84-L116</f>
        <v>1.8545784992397493E-7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0.94090730160673586</v>
      </c>
      <c r="G102" s="1">
        <f t="shared" si="96"/>
        <v>2.6923745099905441E-3</v>
      </c>
      <c r="H102" s="1">
        <f t="shared" si="96"/>
        <v>3.3043942799908833E-3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0.65264668263851155</v>
      </c>
      <c r="G104" s="1">
        <f t="shared" si="100"/>
        <v>8.7165981740263312E-2</v>
      </c>
      <c r="H104" s="1">
        <f t="shared" si="100"/>
        <v>0.51240606965099278</v>
      </c>
      <c r="I104" s="1">
        <f t="shared" si="100"/>
        <v>0.6061634462200749</v>
      </c>
      <c r="J104" s="1">
        <f t="shared" si="100"/>
        <v>9.3464789520179434E-2</v>
      </c>
      <c r="K104" s="1">
        <f t="shared" si="100"/>
        <v>0.48621849090209934</v>
      </c>
      <c r="L104" s="1">
        <f t="shared" ref="L104" si="101">L88-L120</f>
        <v>1.5983508653283351E-5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5.6162870026853856E-2</v>
      </c>
      <c r="L105" s="1">
        <f t="shared" ref="L105" si="103">L89-L121</f>
        <v>9.2428725298743242E-6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5.1891976976698373E-4</v>
      </c>
      <c r="J106" s="1">
        <f t="shared" si="104"/>
        <v>4.4966707528922028E-4</v>
      </c>
      <c r="K106" s="1">
        <f t="shared" si="104"/>
        <v>1.0477607298439802E-3</v>
      </c>
      <c r="L106" s="1">
        <f t="shared" ref="L106" si="105">L90-L122</f>
        <v>1.1039276316899063E-7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1.57793524174446E-2</v>
      </c>
      <c r="G107" s="1">
        <f t="shared" si="106"/>
        <v>5.2670889103163445E-3</v>
      </c>
      <c r="H107" s="1">
        <f t="shared" si="106"/>
        <v>9.8347016701091205E-3</v>
      </c>
      <c r="I107" s="1">
        <f t="shared" si="106"/>
        <v>0</v>
      </c>
      <c r="J107" s="1">
        <f t="shared" si="106"/>
        <v>2.6936072670721376E-2</v>
      </c>
      <c r="K107" s="1">
        <f t="shared" si="106"/>
        <v>1.0981978856729115E-2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2.9168050449781935E-2</v>
      </c>
      <c r="G109" s="1">
        <f t="shared" si="110"/>
        <v>2.8834907401983155E-2</v>
      </c>
      <c r="H109" s="1">
        <f t="shared" si="110"/>
        <v>6.8492170039521905E-2</v>
      </c>
      <c r="I109" s="1">
        <f t="shared" si="110"/>
        <v>0</v>
      </c>
      <c r="J109" s="1">
        <f t="shared" si="110"/>
        <v>0.28122246964977543</v>
      </c>
      <c r="K109" s="1">
        <f t="shared" si="110"/>
        <v>0.10720106626812022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0.57903659500855564</v>
      </c>
      <c r="G112" s="1">
        <f t="shared" si="116"/>
        <v>0.60056916650666681</v>
      </c>
      <c r="H112" s="1">
        <f t="shared" si="116"/>
        <v>3.2607009697268589E-2</v>
      </c>
      <c r="I112" s="1">
        <f t="shared" si="116"/>
        <v>0</v>
      </c>
      <c r="J112" s="1">
        <f t="shared" si="116"/>
        <v>0.17805239768043252</v>
      </c>
      <c r="K112" s="1">
        <f t="shared" si="116"/>
        <v>0.19503135221353304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1.0182311930476671</v>
      </c>
      <c r="G114" s="1">
        <f t="shared" ref="G114:K114" si="120">SUM(G115:G129)</f>
        <v>1.1365330900190331</v>
      </c>
      <c r="H114" s="1">
        <f t="shared" si="120"/>
        <v>1.1421432828877334</v>
      </c>
      <c r="I114" s="1">
        <f t="shared" si="120"/>
        <v>1.1692628989538325</v>
      </c>
      <c r="J114" s="1">
        <f t="shared" si="120"/>
        <v>1.1239467752756893</v>
      </c>
      <c r="K114" s="1">
        <f t="shared" si="120"/>
        <v>1.3054297069537943</v>
      </c>
      <c r="L114" s="1">
        <f t="shared" ref="L114" si="121">SUM(L115:L129)</f>
        <v>1.2987764286369456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8.6311741110731663E-7</v>
      </c>
      <c r="L115" s="1">
        <f>'[2]Electricity and CHPs_IN'!R$23/SUM('[2]Electricity and CHPs_IN'!R$22:R$23)*L83</f>
        <v>2.7252141584474024E-3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2.248706949323413E-9</v>
      </c>
      <c r="L116" s="1">
        <f>'[2]Electricity and CHPs_IN'!R$23/SUM('[2]Electricity and CHPs_IN'!R$22:R$23)*L84</f>
        <v>1.3814341525784078E-3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2.4975505820748589E-2</v>
      </c>
      <c r="G118" s="1">
        <f>'[1]Electricity and CHPs_IN'!M$23/SUM('[1]Electricity and CHPs_IN'!M$22:M$23)*G86</f>
        <v>1.1357259143406239E-4</v>
      </c>
      <c r="H118" s="1">
        <f>'[1]Electricity and CHPs_IN'!N$23/SUM('[1]Electricity and CHPs_IN'!N$22:N$23)*H86</f>
        <v>1.9075189612702444E-4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1.7323896831595926E-2</v>
      </c>
      <c r="G120" s="1">
        <f>'[1]Electricity and CHPs_IN'!M$23/SUM('[1]Electricity and CHPs_IN'!M$22:M$23)*G88</f>
        <v>3.6769277061572819E-3</v>
      </c>
      <c r="H120" s="1">
        <f>'[1]Electricity and CHPs_IN'!N$23/SUM('[1]Electricity and CHPs_IN'!N$22:N$23)*H88</f>
        <v>2.9579529889875215E-2</v>
      </c>
      <c r="I120" s="1">
        <f>'[1]Electricity and CHPs_IN'!O$23/SUM('[1]Electricity and CHPs_IN'!O$22:O$23)*I88</f>
        <v>6.3232627510014586E-2</v>
      </c>
      <c r="J120" s="1">
        <f>'[2]Electricity and CHPs_IN'!P$23/SUM('[2]Electricity and CHPs_IN'!P$22:P$23)*J88</f>
        <v>2.9007343819757074E-3</v>
      </c>
      <c r="K120" s="1">
        <f>'[2]Electricity and CHPs_IN'!Q$23/SUM('[2]Electricity and CHPs_IN'!Q$22:Q$23)*K88</f>
        <v>0.11322587958086648</v>
      </c>
      <c r="L120" s="1">
        <f>'[2]Electricity and CHPs_IN'!R$23/SUM('[2]Electricity and CHPs_IN'!R$22:R$23)*L88</f>
        <v>0.11905759039442877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1.3078668289184459E-2</v>
      </c>
      <c r="L121" s="1">
        <f>'[2]Electricity and CHPs_IN'!R$23/SUM('[2]Electricity and CHPs_IN'!R$22:R$23)*L89</f>
        <v>6.8848095596587292E-2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5.4131704433634187E-5</v>
      </c>
      <c r="J122" s="1">
        <f>'[2]Electricity and CHPs_IN'!P$23/SUM('[2]Electricity and CHPs_IN'!P$22:P$23)*J90</f>
        <v>1.3955680555534581E-5</v>
      </c>
      <c r="K122" s="1">
        <f>'[2]Electricity and CHPs_IN'!Q$23/SUM('[2]Electricity and CHPs_IN'!Q$22:Q$23)*K90</f>
        <v>2.4399242819163428E-4</v>
      </c>
      <c r="L122" s="1">
        <f>'[2]Electricity and CHPs_IN'!R$23/SUM('[2]Electricity and CHPs_IN'!R$22:R$23)*L90</f>
        <v>8.2229106668541745E-4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4.1884817715470224E-4</v>
      </c>
      <c r="G123" s="1">
        <f>'[1]Electricity and CHPs_IN'!M$23/SUM('[1]Electricity and CHPs_IN'!M$22:M$23)*G91</f>
        <v>2.2218191958010326E-4</v>
      </c>
      <c r="H123" s="1">
        <f>'[1]Electricity and CHPs_IN'!N$23/SUM('[1]Electricity and CHPs_IN'!N$22:N$23)*H91</f>
        <v>5.6772522661009586E-4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8.3597676207774671E-4</v>
      </c>
      <c r="K123" s="1">
        <f>'[2]Electricity and CHPs_IN'!Q$23/SUM('[2]Electricity and CHPs_IN'!Q$22:Q$23)*K91</f>
        <v>2.5573774730052404E-3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7.7423866574785876E-4</v>
      </c>
      <c r="G125" s="1">
        <f>'[1]Electricity and CHPs_IN'!M$23/SUM('[1]Electricity and CHPs_IN'!M$22:M$23)*G93</f>
        <v>1.2163445855145746E-3</v>
      </c>
      <c r="H125" s="1">
        <f>'[1]Electricity and CHPs_IN'!N$23/SUM('[1]Electricity and CHPs_IN'!N$22:N$23)*H93</f>
        <v>3.9538294155773155E-3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8.7279037473368438E-3</v>
      </c>
      <c r="K125" s="1">
        <f>'[2]Electricity and CHPs_IN'!Q$23/SUM('[2]Electricity and CHPs_IN'!Q$22:Q$23)*K93</f>
        <v>2.4963951900913314E-2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0.95936871776915844</v>
      </c>
      <c r="G127" s="1">
        <f t="shared" si="123"/>
        <v>1.1059702189378271</v>
      </c>
      <c r="H127" s="1">
        <f t="shared" si="123"/>
        <v>1.1059691502201241</v>
      </c>
      <c r="I127" s="1">
        <f t="shared" si="123"/>
        <v>1.1059761397393844</v>
      </c>
      <c r="J127" s="1">
        <f t="shared" si="123"/>
        <v>1.105942244452869</v>
      </c>
      <c r="K127" s="1">
        <f t="shared" si="123"/>
        <v>1.1059419488828197</v>
      </c>
      <c r="L127" s="1">
        <f t="shared" ref="L127" si="124">L95</f>
        <v>1.1059418032682184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1.5369985783261665E-2</v>
      </c>
      <c r="G128" s="1">
        <f>'[1]Electricity and CHPs_IN'!M$23/SUM('[1]Electricity and CHPs_IN'!M$22:M$23)*G96</f>
        <v>2.5333844278520007E-2</v>
      </c>
      <c r="H128" s="1">
        <f>'[1]Electricity and CHPs_IN'!N$23/SUM('[1]Electricity and CHPs_IN'!N$22:N$23)*H96</f>
        <v>1.8822962394195333E-3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5.5259602508742787E-3</v>
      </c>
      <c r="K128" s="1">
        <f>'[2]Electricity and CHPs_IN'!Q$23/SUM('[2]Electricity and CHPs_IN'!Q$22:Q$23)*K96</f>
        <v>4.5417023032695403E-2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8.2845956974143515</v>
      </c>
      <c r="G130" s="1">
        <f t="shared" ref="G130:K130" si="125">SUM(G131:G136)</f>
        <v>8.9502499596189367</v>
      </c>
      <c r="H130" s="1">
        <f t="shared" si="125"/>
        <v>9.4525599315503541</v>
      </c>
      <c r="I130" s="1">
        <f t="shared" si="125"/>
        <v>8.8352929988379998</v>
      </c>
      <c r="J130" s="1">
        <f t="shared" si="125"/>
        <v>8.9271425135777545</v>
      </c>
      <c r="K130" s="1">
        <f t="shared" si="125"/>
        <v>9.279559100072504</v>
      </c>
      <c r="L130" s="1">
        <f t="shared" ref="L130" si="126">SUM(L131:L136)</f>
        <v>10.266293392720515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6.5070005923053778</v>
      </c>
      <c r="G131" s="1">
        <f>'[1]Electricity and CHPs'!C19</f>
        <v>7.3027688248977967</v>
      </c>
      <c r="H131" s="1">
        <f>'[1]Electricity and CHPs'!D19</f>
        <v>8.1297111475369732</v>
      </c>
      <c r="I131" s="1">
        <f>'[1]Electricity and CHPs'!E19</f>
        <v>7.4043110724754833</v>
      </c>
      <c r="J131" s="1">
        <f>'[2]Electricity and CHPs'!F19</f>
        <v>7.4918605790658646</v>
      </c>
      <c r="K131" s="1">
        <f>'[2]Electricity and CHPs'!G19</f>
        <v>4.9245441417850584</v>
      </c>
      <c r="L131" s="1">
        <f>'[2]Electricity and CHPs'!H19</f>
        <v>1.0447478733832142E-3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2.9284170516523851</v>
      </c>
      <c r="L132" s="1">
        <f>'[2]Electricity and CHPs'!H20</f>
        <v>8.471419377783219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1.547548754420579</v>
      </c>
      <c r="G133" s="1">
        <f>'[1]Electricity and CHPs'!C26</f>
        <v>1.4173231612348918</v>
      </c>
      <c r="H133" s="1">
        <f>'[1]Electricity and CHPs'!D26</f>
        <v>1.321579660114764</v>
      </c>
      <c r="I133" s="1">
        <f>'[1]Electricity and CHPs'!E26</f>
        <v>1.4296754353038805</v>
      </c>
      <c r="J133" s="1">
        <f>'[2]Electricity and CHPs'!F26</f>
        <v>1.4346820530006466</v>
      </c>
      <c r="K133" s="1">
        <f>'[2]Electricity and CHPs'!G26</f>
        <v>0.92843965969162356</v>
      </c>
      <c r="L133" s="1">
        <f>'[2]Electricity and CHPs'!H26</f>
        <v>0.14528595094447128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0.48984756184565481</v>
      </c>
      <c r="L134" s="1">
        <f>'[2]Electricity and CHPs'!H27</f>
        <v>1.3567478406324747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0.23004635068839527</v>
      </c>
      <c r="G135" s="1">
        <f>'[1]Electricity and CHPs'!C44</f>
        <v>0.23015797348624767</v>
      </c>
      <c r="H135" s="1">
        <f>'[1]Electricity and CHPs'!D44</f>
        <v>1.269123898617128E-3</v>
      </c>
      <c r="I135" s="1">
        <f>'[1]Electricity and CHPs'!E44</f>
        <v>1.3064910586346094E-3</v>
      </c>
      <c r="J135" s="1">
        <f>'[2]Electricity and CHPs'!F44</f>
        <v>5.9988151124416161E-4</v>
      </c>
      <c r="K135" s="1">
        <f>'[2]Electricity and CHPs'!G44</f>
        <v>3.1414149673139212E-3</v>
      </c>
      <c r="L135" s="1">
        <f>'[2]Electricity and CHPs'!H44</f>
        <v>1.2514671807831155E-4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5.1692701304681104E-3</v>
      </c>
      <c r="L136" s="1">
        <f>'[2]Electricity and CHPs'!H45</f>
        <v>0.29167032876888982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4.0272746733629781</v>
      </c>
      <c r="G137" s="1">
        <f t="shared" ref="G137:K137" si="128">SUM(G138:G141)</f>
        <v>4.3600459930663442</v>
      </c>
      <c r="H137" s="1">
        <f t="shared" si="128"/>
        <v>4.7256454038258688</v>
      </c>
      <c r="I137" s="1">
        <f t="shared" si="128"/>
        <v>4.4169932538896814</v>
      </c>
      <c r="J137" s="1">
        <f t="shared" si="128"/>
        <v>4.4632713160332553</v>
      </c>
      <c r="K137" s="1">
        <f t="shared" si="128"/>
        <v>4.6356242074873615</v>
      </c>
      <c r="L137" s="1">
        <f t="shared" ref="L137" si="129">SUM(L138:L141)</f>
        <v>4.9872489586167736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3.2535002961526889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3.6513844124488983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4.0648555737684866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3.7021555362377416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3.7459302895329323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2.4622720708925292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5.2237393669160711E-4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1.4642085258261925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4.2357096888916095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0.77377437721028963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0.70866158061744589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0.66078983005738201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0.71483771765194015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0.71734102650032316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0.46421982984581178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7.2642975472235638E-2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0.24492378092282741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0.67837392031623733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4.2573210240513735</v>
      </c>
      <c r="G144" s="1">
        <f t="shared" ref="G144:K144" si="130">SUM(G145:G150)</f>
        <v>4.5902039665525916</v>
      </c>
      <c r="H144" s="1">
        <f t="shared" si="130"/>
        <v>4.7269145277244862</v>
      </c>
      <c r="I144" s="1">
        <f t="shared" si="130"/>
        <v>4.4182997449483166</v>
      </c>
      <c r="J144" s="1">
        <f t="shared" si="130"/>
        <v>4.4638711975444991</v>
      </c>
      <c r="K144" s="1">
        <f t="shared" si="130"/>
        <v>4.6439348925851434</v>
      </c>
      <c r="L144" s="1">
        <f t="shared" ref="L144" si="131">SUM(L145:L150)</f>
        <v>5.2790444341037421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3.2535002961526889</v>
      </c>
      <c r="G145" s="1">
        <f t="shared" ref="G145:K145" si="132">G131-G138</f>
        <v>3.6513844124488983</v>
      </c>
      <c r="H145" s="1">
        <f t="shared" si="132"/>
        <v>4.0648555737684866</v>
      </c>
      <c r="I145" s="1">
        <f t="shared" si="132"/>
        <v>3.7021555362377416</v>
      </c>
      <c r="J145" s="1">
        <f t="shared" si="132"/>
        <v>3.7459302895329323</v>
      </c>
      <c r="K145" s="1">
        <f t="shared" si="132"/>
        <v>2.4622720708925292</v>
      </c>
      <c r="L145" s="1">
        <f t="shared" ref="L145" si="133">L131-L138</f>
        <v>5.2237393669160711E-4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1.4642085258261925</v>
      </c>
      <c r="L146" s="1">
        <f t="shared" ref="L146" si="135">L132-L139</f>
        <v>4.2357096888916095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0.77377437721028941</v>
      </c>
      <c r="G147" s="1">
        <f t="shared" si="136"/>
        <v>0.70866158061744589</v>
      </c>
      <c r="H147" s="1">
        <f t="shared" si="136"/>
        <v>0.66078983005738201</v>
      </c>
      <c r="I147" s="1">
        <f t="shared" si="136"/>
        <v>0.71483771765194037</v>
      </c>
      <c r="J147" s="1">
        <f t="shared" si="136"/>
        <v>0.71734102650032339</v>
      </c>
      <c r="K147" s="1">
        <f t="shared" si="136"/>
        <v>0.46421982984581178</v>
      </c>
      <c r="L147" s="1">
        <f t="shared" ref="L147" si="137">L133-L140</f>
        <v>7.2642975472235638E-2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0.24492378092282741</v>
      </c>
      <c r="L148" s="1">
        <f t="shared" ref="L148" si="139">L134-L141</f>
        <v>0.67837392031623733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0.23004635068839527</v>
      </c>
      <c r="G149" s="1">
        <f t="shared" si="140"/>
        <v>0.23015797348624767</v>
      </c>
      <c r="H149" s="1">
        <f t="shared" si="140"/>
        <v>1.269123898617128E-3</v>
      </c>
      <c r="I149" s="1">
        <f t="shared" si="140"/>
        <v>1.3064910586346094E-3</v>
      </c>
      <c r="J149" s="1">
        <f t="shared" si="140"/>
        <v>5.9988151124416161E-4</v>
      </c>
      <c r="K149" s="1">
        <f t="shared" si="140"/>
        <v>3.1414149673139212E-3</v>
      </c>
      <c r="L149" s="1">
        <f t="shared" ref="L149" si="141">L135-L142</f>
        <v>1.2514671807831155E-4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5.1692701304681104E-3</v>
      </c>
      <c r="L150" s="1">
        <f t="shared" ref="L150" si="146">L136-L143</f>
        <v>0.29167032876888982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0.56826979318318438</v>
      </c>
      <c r="G151" s="1">
        <f t="shared" ref="G151:K151" si="147">SUM(G152:G158)</f>
        <v>0.56827197963177434</v>
      </c>
      <c r="H151" s="1">
        <f t="shared" si="147"/>
        <v>1.1588850939969693</v>
      </c>
      <c r="I151" s="1">
        <f t="shared" si="147"/>
        <v>2.7557222557688199</v>
      </c>
      <c r="J151" s="1">
        <f t="shared" si="147"/>
        <v>3.8210675082150845</v>
      </c>
      <c r="K151" s="1">
        <f t="shared" si="147"/>
        <v>4.542285316339588</v>
      </c>
      <c r="L151" s="1">
        <f t="shared" ref="L151" si="148">SUM(L152:L158)</f>
        <v>5.8867628768433544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0.39562051299735207</v>
      </c>
      <c r="G152" s="1">
        <f>'[1]Electricity and CHPs'!C25</f>
        <v>4.6629069746817894E-2</v>
      </c>
      <c r="H152" s="1">
        <f>'[1]Electricity and CHPs'!D25</f>
        <v>5.3338835452502781E-4</v>
      </c>
      <c r="I152" s="1">
        <f>'[1]Electricity and CHPs'!E25</f>
        <v>0.92524022744510137</v>
      </c>
      <c r="J152" s="1">
        <f>'[2]Electricity and CHPs'!F25</f>
        <v>0.94227683851524147</v>
      </c>
      <c r="K152" s="1">
        <f>'[2]Electricity and CHPs'!G25</f>
        <v>1.2525393995743976</v>
      </c>
      <c r="L152" s="1">
        <f>'[2]Electricity and CHPs'!H25</f>
        <v>1.9388954768530299E-3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3.5988073234330316E-4</v>
      </c>
      <c r="L153" s="1">
        <f>'[2]Electricity and CHPs'!H31</f>
        <v>2.9187171077320366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0.17264928018583237</v>
      </c>
      <c r="G154" s="1">
        <f>'[1]Electricity and CHPs'!C42</f>
        <v>0.52164290988495643</v>
      </c>
      <c r="H154" s="1">
        <f>'[1]Electricity and CHPs'!D42</f>
        <v>1.1583517056424442</v>
      </c>
      <c r="I154" s="1">
        <f>'[1]Electricity and CHPs'!E42</f>
        <v>1.8304820283237186</v>
      </c>
      <c r="J154" s="1">
        <f>'[2]Electricity and CHPs'!F42</f>
        <v>2.7633590538611954</v>
      </c>
      <c r="K154" s="1">
        <f>'[2]Electricity and CHPs'!G42</f>
        <v>2.4535029246955999</v>
      </c>
      <c r="L154" s="1">
        <f>'[2]Electricity and CHPs'!H42</f>
        <v>0.8961547181982914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0.7212048323409358</v>
      </c>
      <c r="L155" s="1">
        <f>'[2]Electricity and CHPs'!H43</f>
        <v>2.0656830984743868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2.058178836852817E-3</v>
      </c>
      <c r="K156" s="1">
        <f>'[2]Electricity and CHPs'!G50</f>
        <v>2.1312262384973911E-3</v>
      </c>
      <c r="L156" s="1">
        <f>'[2]Electricity and CHPs'!H50</f>
        <v>7.8318699697630192E-4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0.11279774920870153</v>
      </c>
      <c r="K157" s="1">
        <f>'[2]Electricity and CHPs'!G53</f>
        <v>0.11180033732318043</v>
      </c>
      <c r="L157" s="1">
        <f>'[2]Electricity and CHPs'!H53</f>
        <v>3.1430194755745515E-3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5.7568779309339767E-4</v>
      </c>
      <c r="K158" s="1">
        <f>'[2]Electricity and CHPs'!G56</f>
        <v>7.4671543463277574E-4</v>
      </c>
      <c r="L158" s="1">
        <f>'[2]Electricity and CHPs'!H56</f>
        <v>3.4285048923564398E-4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0.54529229929872658</v>
      </c>
      <c r="H159" s="1">
        <f t="shared" si="149"/>
        <v>0.50316489763227623</v>
      </c>
      <c r="I159" s="1">
        <f t="shared" si="149"/>
        <v>2.050259966074901</v>
      </c>
      <c r="J159" s="1">
        <f t="shared" si="149"/>
        <v>0.88003344024312191</v>
      </c>
      <c r="K159" s="1">
        <f t="shared" si="149"/>
        <v>0.88004543002501978</v>
      </c>
      <c r="L159" s="1">
        <f t="shared" si="149"/>
        <v>0.8800469901406538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0.54529229929872658</v>
      </c>
      <c r="H160" s="1">
        <f>'[1]Electricity and CHPs'!D33</f>
        <v>0.50316489763227623</v>
      </c>
      <c r="I160" s="1">
        <f>'[1]Electricity and CHPs'!E33</f>
        <v>2.050259966074901</v>
      </c>
      <c r="J160" s="1">
        <f>'[2]Electricity and CHPs'!F33</f>
        <v>0.88003344024312191</v>
      </c>
      <c r="K160" s="1">
        <f>'[2]Electricity and CHPs'!G33</f>
        <v>0.88004543002501978</v>
      </c>
      <c r="L160" s="1">
        <f>'[2]Electricity and CHPs'!H33</f>
        <v>0.8800469901406538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12.821422891735427</v>
      </c>
      <c r="H161" s="1">
        <f t="shared" si="150"/>
        <v>28.800004193581717</v>
      </c>
      <c r="I161" s="1">
        <f t="shared" si="150"/>
        <v>50.701498810562612</v>
      </c>
      <c r="J161" s="1">
        <f t="shared" si="150"/>
        <v>54.127715740820008</v>
      </c>
      <c r="K161" s="1">
        <f t="shared" si="150"/>
        <v>58.066136293263469</v>
      </c>
      <c r="L161" s="1">
        <f t="shared" ref="L161" si="151">SUM(L162:L166)</f>
        <v>63.549506544901902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0.14080295862804201</v>
      </c>
      <c r="I162" s="1">
        <f>'[1]Electricity and CHPs'!E34</f>
        <v>0.49715254450628882</v>
      </c>
      <c r="J162" s="1">
        <f>'[2]Electricity and CHPs'!F34</f>
        <v>1.3197382786811827</v>
      </c>
      <c r="K162" s="1">
        <f>'[2]Electricity and CHPs'!G34</f>
        <v>2.5162423158189418</v>
      </c>
      <c r="L162" s="1">
        <f>'[2]Electricity and CHPs'!H34</f>
        <v>2.0798433999240529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4.8486224103667395</v>
      </c>
      <c r="H163" s="1">
        <f>'[1]Electricity and CHPs'!D35</f>
        <v>11.161490481896006</v>
      </c>
      <c r="I163" s="1">
        <f>'[1]Electricity and CHPs'!E35</f>
        <v>19.477119999127183</v>
      </c>
      <c r="J163" s="1">
        <f>'[2]Electricity and CHPs'!F35</f>
        <v>20.470652173476445</v>
      </c>
      <c r="K163" s="1">
        <f>'[2]Electricity and CHPs'!G35</f>
        <v>21.514862902360804</v>
      </c>
      <c r="L163" s="1">
        <f>'[2]Electricity and CHPs'!H35</f>
        <v>23.765793951229259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3.3907110992531413</v>
      </c>
      <c r="H164" s="1">
        <f>'[1]Electricity and CHPs'!D36</f>
        <v>6.0136545123093201</v>
      </c>
      <c r="I164" s="1">
        <f>'[1]Electricity and CHPs'!E36</f>
        <v>11.185987675100019</v>
      </c>
      <c r="J164" s="1">
        <f>'[2]Electricity and CHPs'!F36</f>
        <v>11.801960495882243</v>
      </c>
      <c r="K164" s="1">
        <f>'[2]Electricity and CHPs'!G36</f>
        <v>12.452153337978361</v>
      </c>
      <c r="L164" s="1">
        <f>'[2]Electricity and CHPs'!H36</f>
        <v>13.862943956130019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1.28763416380326</v>
      </c>
      <c r="H165" s="1">
        <f>'[1]Electricity and CHPs'!D37</f>
        <v>1.5174839608673494</v>
      </c>
      <c r="I165" s="1">
        <f>'[1]Electricity and CHPs'!E37</f>
        <v>1.6388963235412701</v>
      </c>
      <c r="J165" s="1">
        <f>'[2]Electricity and CHPs'!F37</f>
        <v>1.7198217935533948</v>
      </c>
      <c r="K165" s="1">
        <f>'[2]Electricity and CHPs'!G37</f>
        <v>1.8075521949140552</v>
      </c>
      <c r="L165" s="1">
        <f>'[2]Electricity and CHPs'!H37</f>
        <v>1.9966627922758395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3.2944552183122862</v>
      </c>
      <c r="H166" s="1">
        <f>'[1]Electricity and CHPs'!D38</f>
        <v>9.9665722798809995</v>
      </c>
      <c r="I166" s="1">
        <f>'[1]Electricity and CHPs'!E38</f>
        <v>17.902342268287857</v>
      </c>
      <c r="J166" s="1">
        <f>'[2]Electricity and CHPs'!F38</f>
        <v>18.815542999226739</v>
      </c>
      <c r="K166" s="1">
        <f>'[2]Electricity and CHPs'!G38</f>
        <v>19.775325542191307</v>
      </c>
      <c r="L166" s="1">
        <f>'[2]Electricity and CHPs'!H38</f>
        <v>21.844262445342725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6.48242355624856E-4</v>
      </c>
      <c r="L167" s="1">
        <f>'[2]Electricity and CHPs'!H32</f>
        <v>3.1040457768690697E-3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6.48242355624856E-4</v>
      </c>
      <c r="L168" s="1">
        <f t="shared" ref="L168" si="156">L167</f>
        <v>3.1040457768690697E-3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3.776468495388307E-2</v>
      </c>
      <c r="J169" s="1">
        <f t="shared" si="157"/>
        <v>4.4918266262088842E-3</v>
      </c>
      <c r="K169" s="1">
        <f t="shared" si="157"/>
        <v>0.26362085555260983</v>
      </c>
      <c r="L169" s="1">
        <f t="shared" ref="L169" si="158">SUM(L170:L172)</f>
        <v>0.27638738665757839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4.6289290645330175E-2</v>
      </c>
      <c r="L170" s="1">
        <f>'[2]Electricity and CHPs'!H30</f>
        <v>4.6294636288881509E-2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3.776468495388307E-2</v>
      </c>
      <c r="J171" s="1">
        <f>'[2]Electricity and CHPs'!F46</f>
        <v>3.536338801991118E-3</v>
      </c>
      <c r="K171" s="1">
        <f>'[2]Electricity and CHPs'!G46</f>
        <v>0.19097251359819115</v>
      </c>
      <c r="L171" s="1">
        <f>'[2]Electricity and CHPs'!H46</f>
        <v>0.21355519650428328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9.5548782421776574E-4</v>
      </c>
      <c r="K172" s="1">
        <f>'[2]Electricity and CHPs'!G57</f>
        <v>2.6359051309088485E-2</v>
      </c>
      <c r="L172" s="1">
        <f>'[2]Electricity and CHPs'!H57</f>
        <v>1.6537553864413596E-2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0.11450801876472666</v>
      </c>
      <c r="G173" s="1">
        <f t="shared" ref="G173:K173" si="160">SUM(G174:G180)</f>
        <v>2.5893793179855771E-2</v>
      </c>
      <c r="H173" s="1">
        <f t="shared" si="160"/>
        <v>0.40706948032195556</v>
      </c>
      <c r="I173" s="1">
        <f t="shared" si="160"/>
        <v>1.1041029093777743</v>
      </c>
      <c r="J173" s="1">
        <f t="shared" si="160"/>
        <v>1.2395970840948642</v>
      </c>
      <c r="K173" s="1">
        <f t="shared" si="160"/>
        <v>0.52213016267176471</v>
      </c>
      <c r="L173" s="1">
        <f t="shared" ref="L173" si="161">SUM(L174:L180)</f>
        <v>2.622772657996935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9.4604505356707294E-2</v>
      </c>
      <c r="G174" s="1">
        <f>'[1]Electricity and CHPs'!C70</f>
        <v>8.2012065258469605E-3</v>
      </c>
      <c r="H174" s="1">
        <f>'[1]Electricity and CHPs'!D70</f>
        <v>8.6205848938974722E-3</v>
      </c>
      <c r="I174" s="1">
        <f>'[1]Electricity and CHPs'!E70</f>
        <v>5.7187808583187685E-2</v>
      </c>
      <c r="J174" s="1">
        <f>'[2]Electricity and CHPs'!F70</f>
        <v>6.8305856623667588E-3</v>
      </c>
      <c r="K174" s="1">
        <f>'[2]Electricity and CHPs'!G70</f>
        <v>1.5014752676638416E-3</v>
      </c>
      <c r="L174" s="1">
        <f>'[2]Electricity and CHPs'!H70</f>
        <v>7.6263387712625752E-2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5.2209829490788709E-3</v>
      </c>
      <c r="G175" s="1">
        <f>'[1]Electricity and CHPs'!C71</f>
        <v>4.1544246318369607E-3</v>
      </c>
      <c r="H175" s="1">
        <f>'[1]Electricity and CHPs'!D71</f>
        <v>1.4085063157461192E-2</v>
      </c>
      <c r="I175" s="1">
        <f>'[1]Electricity and CHPs'!E71</f>
        <v>7.8275653384326821E-2</v>
      </c>
      <c r="J175" s="1">
        <f>'[2]Electricity and CHPs'!F71</f>
        <v>2.4030726740686216E-2</v>
      </c>
      <c r="K175" s="1">
        <f>'[2]Electricity and CHPs'!G71</f>
        <v>2.4045462285921616E-2</v>
      </c>
      <c r="L175" s="1">
        <f>'[2]Electricity and CHPs'!H71</f>
        <v>5.8149442735023482E-2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5.1249944686922125E-3</v>
      </c>
      <c r="G176" s="1">
        <f>'[1]Electricity and CHPs'!C72</f>
        <v>4.0007776764152325E-3</v>
      </c>
      <c r="H176" s="1">
        <f>'[1]Electricity and CHPs'!D72</f>
        <v>1.3978425514363424E-2</v>
      </c>
      <c r="I176" s="1">
        <f>'[1]Electricity and CHPs'!E72</f>
        <v>5.7845381253948447E-2</v>
      </c>
      <c r="J176" s="1">
        <f>'[2]Electricity and CHPs'!F72</f>
        <v>3.7708507291394522E-2</v>
      </c>
      <c r="K176" s="1">
        <f>'[2]Electricity and CHPs'!G72</f>
        <v>3.6502886778297071E-2</v>
      </c>
      <c r="L176" s="1">
        <f>'[2]Electricity and CHPs'!H72</f>
        <v>0.13611507311115018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1.5900734157252778E-3</v>
      </c>
      <c r="G177" s="1">
        <f>'[1]Electricity and CHPs'!C73</f>
        <v>1.5868089862718807E-3</v>
      </c>
      <c r="H177" s="1">
        <f>'[1]Electricity and CHPs'!D73</f>
        <v>7.8341000389008875E-2</v>
      </c>
      <c r="I177" s="1">
        <f>'[1]Electricity and CHPs'!E73</f>
        <v>0.18008369113995573</v>
      </c>
      <c r="J177" s="1">
        <f>'[2]Electricity and CHPs'!F73</f>
        <v>0.19715844693140219</v>
      </c>
      <c r="K177" s="1">
        <f>'[2]Electricity and CHPs'!G73</f>
        <v>9.6049121301586118E-2</v>
      </c>
      <c r="L177" s="1">
        <f>'[2]Electricity and CHPs'!H73</f>
        <v>0.39491051157750234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3.20428953309019E-3</v>
      </c>
      <c r="G178" s="1">
        <f>'[1]Electricity and CHPs'!C74</f>
        <v>3.1976071807090691E-3</v>
      </c>
      <c r="H178" s="1">
        <f>'[1]Electricity and CHPs'!D74</f>
        <v>0.16528225795509538</v>
      </c>
      <c r="I178" s="1">
        <f>'[1]Electricity and CHPs'!E74</f>
        <v>0.37223038918590706</v>
      </c>
      <c r="J178" s="1">
        <f>'[2]Electricity and CHPs'!F74</f>
        <v>0.50730755588708643</v>
      </c>
      <c r="K178" s="1">
        <f>'[2]Electricity and CHPs'!G74</f>
        <v>0.16915827504376346</v>
      </c>
      <c r="L178" s="1">
        <f>'[2]Electricity and CHPs'!H74</f>
        <v>1.1728592493688414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3.1266018232834836E-3</v>
      </c>
      <c r="G179" s="1">
        <f>'[1]Electricity and CHPs'!C75</f>
        <v>3.119658294178553E-3</v>
      </c>
      <c r="H179" s="1">
        <f>'[1]Electricity and CHPs'!D75</f>
        <v>2.4702475163429764E-2</v>
      </c>
      <c r="I179" s="1">
        <f>'[1]Electricity and CHPs'!E75</f>
        <v>3.7909580941733009E-2</v>
      </c>
      <c r="J179" s="1">
        <f>'[2]Electricity and CHPs'!F75</f>
        <v>3.8014239799800675E-2</v>
      </c>
      <c r="K179" s="1">
        <f>'[2]Electricity and CHPs'!G75</f>
        <v>1.8759217228321488E-2</v>
      </c>
      <c r="L179" s="1">
        <f>'[2]Electricity and CHPs'!H75</f>
        <v>5.8538590393560422E-2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1.6365712181493251E-3</v>
      </c>
      <c r="G180" s="1">
        <f>'[1]Electricity and CHPs'!C76</f>
        <v>1.6333098845971138E-3</v>
      </c>
      <c r="H180" s="1">
        <f>'[1]Electricity and CHPs'!D76</f>
        <v>0.10205967324869938</v>
      </c>
      <c r="I180" s="1">
        <f>'[1]Electricity and CHPs'!E76</f>
        <v>0.32057040488871552</v>
      </c>
      <c r="J180" s="1">
        <f>'[2]Electricity and CHPs'!F76</f>
        <v>0.42854702178212756</v>
      </c>
      <c r="K180" s="1">
        <f>'[2]Electricity and CHPs'!G76</f>
        <v>0.17611372476621115</v>
      </c>
      <c r="L180" s="1">
        <f>'[2]Electricity and CHPs'!H76</f>
        <v>0.72593640309823126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31.02642744694522</v>
      </c>
      <c r="G181" s="3">
        <f t="shared" ref="G181:K181" si="162">SUM(G182,G233)</f>
        <v>37.569064217898855</v>
      </c>
      <c r="H181" s="3">
        <f t="shared" si="162"/>
        <v>34.675810239035378</v>
      </c>
      <c r="I181" s="3">
        <f t="shared" si="162"/>
        <v>36.615218882746348</v>
      </c>
      <c r="J181" s="3">
        <f t="shared" si="162"/>
        <v>37.874278810346695</v>
      </c>
      <c r="K181" s="3">
        <f t="shared" si="162"/>
        <v>39.504673713179955</v>
      </c>
      <c r="L181" s="3">
        <f t="shared" ref="L181" si="163">SUM(L182,L233)</f>
        <v>39.833425354954784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24.507994522003962</v>
      </c>
      <c r="G182" s="1">
        <f t="shared" si="164"/>
        <v>29.314654979651806</v>
      </c>
      <c r="H182" s="1">
        <f t="shared" si="164"/>
        <v>27.456563948618086</v>
      </c>
      <c r="I182" s="1">
        <f t="shared" si="164"/>
        <v>29.34824987205009</v>
      </c>
      <c r="J182" s="1">
        <f t="shared" si="164"/>
        <v>28.630807932943569</v>
      </c>
      <c r="K182" s="1">
        <f t="shared" si="164"/>
        <v>29.890190818971579</v>
      </c>
      <c r="L182" s="1">
        <f t="shared" ref="L182" si="165">L183+L210</f>
        <v>31.237265955674673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17.565265868911151</v>
      </c>
      <c r="G183" s="1">
        <f t="shared" si="166"/>
        <v>13.428184936469103</v>
      </c>
      <c r="H183" s="1">
        <f t="shared" si="166"/>
        <v>12.306166396835559</v>
      </c>
      <c r="I183" s="1">
        <f t="shared" si="166"/>
        <v>15.214867295348819</v>
      </c>
      <c r="J183" s="1">
        <f t="shared" si="166"/>
        <v>14.807935190345704</v>
      </c>
      <c r="K183" s="1">
        <f t="shared" si="166"/>
        <v>16.115282677276713</v>
      </c>
      <c r="L183" s="1">
        <f t="shared" ref="L183" si="167">SUM(L185,L189,L190,L198,L199,L207,L209)</f>
        <v>12.581917553922104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9.2644052217417672E-3</v>
      </c>
      <c r="G184" s="1">
        <f t="shared" ref="G184:L184" si="168">G185</f>
        <v>6.0944060457256664E-4</v>
      </c>
      <c r="H184" s="1">
        <f t="shared" si="168"/>
        <v>3.566894634200271E-3</v>
      </c>
      <c r="I184" s="1">
        <f t="shared" si="168"/>
        <v>4.8447109492553552E-3</v>
      </c>
      <c r="J184" s="1">
        <f t="shared" si="168"/>
        <v>7.2903270352157174E-4</v>
      </c>
      <c r="K184" s="1">
        <f t="shared" si="168"/>
        <v>0.87191417057748766</v>
      </c>
      <c r="L184" s="1">
        <f t="shared" si="168"/>
        <v>3.2222472886932003E-5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9.2644052217417672E-3</v>
      </c>
      <c r="G185" s="1">
        <f>'[1]Electricity and CHPs'!C$94</f>
        <v>6.0944060457256664E-4</v>
      </c>
      <c r="H185" s="1">
        <f>'[1]Electricity and CHPs'!D$94</f>
        <v>3.566894634200271E-3</v>
      </c>
      <c r="I185" s="1">
        <f>'[1]Electricity and CHPs'!E$94</f>
        <v>4.8447109492553552E-3</v>
      </c>
      <c r="J185" s="1">
        <f>'[2]Electricity and CHPs'!F$94</f>
        <v>7.2903270352157174E-4</v>
      </c>
      <c r="K185" s="1">
        <f>'[2]Electricity and CHPs'!G$94</f>
        <v>0.87191417057748766</v>
      </c>
      <c r="L185" s="1">
        <f>'[2]Electricity and CHPs'!H$94</f>
        <v>3.2222472886932003E-5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9.2644052217417672E-3</v>
      </c>
      <c r="G186" s="1">
        <f t="shared" ref="G186:K186" si="169">G185-G187</f>
        <v>6.0944060457256664E-4</v>
      </c>
      <c r="H186" s="1">
        <f t="shared" si="169"/>
        <v>3.566894634200271E-3</v>
      </c>
      <c r="I186" s="1">
        <f t="shared" si="169"/>
        <v>4.8447109492553552E-3</v>
      </c>
      <c r="J186" s="1">
        <f t="shared" si="169"/>
        <v>7.2903270352157174E-4</v>
      </c>
      <c r="K186" s="1">
        <f t="shared" si="169"/>
        <v>0.87191417057748766</v>
      </c>
      <c r="L186" s="1">
        <f t="shared" ref="L186" si="170">L185-L187</f>
        <v>3.2222472886932003E-5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1.8035550624362757</v>
      </c>
      <c r="G188" s="1">
        <f t="shared" ref="G188:K188" si="173">SUM(G189:G190)</f>
        <v>5.3917815851516728E-3</v>
      </c>
      <c r="H188" s="1">
        <f t="shared" si="173"/>
        <v>7.0007647796376136E-3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1.8035550624362757</v>
      </c>
      <c r="G189" s="1">
        <f>'[1]Electricity and CHPs'!C$91</f>
        <v>5.3917815851516728E-3</v>
      </c>
      <c r="H189" s="1">
        <f>'[1]Electricity and CHPs'!D$91</f>
        <v>7.0007647796376136E-3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1.7569192805240901</v>
      </c>
      <c r="G191" s="1">
        <f t="shared" ref="G191:K191" si="175">SUM(G192:G193)</f>
        <v>5.1735456081579397E-3</v>
      </c>
      <c r="H191" s="1">
        <f t="shared" si="175"/>
        <v>6.6186894417933984E-3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1.7569192805240901</v>
      </c>
      <c r="G192" s="1">
        <f t="shared" ref="G192:K192" si="177">G189-G195</f>
        <v>5.1735456081579397E-3</v>
      </c>
      <c r="H192" s="1">
        <f t="shared" si="177"/>
        <v>6.6186894417933984E-3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4.6635781912185668E-2</v>
      </c>
      <c r="G194" s="1">
        <f t="shared" ref="G194:K194" si="181">SUM(G195:G196)</f>
        <v>2.1823597699373299E-4</v>
      </c>
      <c r="H194" s="1">
        <f t="shared" si="181"/>
        <v>3.8207533784421485E-4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4.6635781912185668E-2</v>
      </c>
      <c r="G195" s="1">
        <f t="shared" si="183"/>
        <v>2.1823597699373299E-4</v>
      </c>
      <c r="H195" s="1">
        <f t="shared" si="183"/>
        <v>3.8207533784421485E-4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14.461264109755597</v>
      </c>
      <c r="G197" s="1">
        <f t="shared" ref="G197:K197" si="186">SUM(G198:G199)</f>
        <v>13.051649081885905</v>
      </c>
      <c r="H197" s="1">
        <f t="shared" si="186"/>
        <v>12.04563506630919</v>
      </c>
      <c r="I197" s="1">
        <f t="shared" si="186"/>
        <v>12.790296143026849</v>
      </c>
      <c r="J197" s="1">
        <f t="shared" si="186"/>
        <v>12.342948759407433</v>
      </c>
      <c r="K197" s="1">
        <f t="shared" si="186"/>
        <v>11.911503939634361</v>
      </c>
      <c r="L197" s="1">
        <f t="shared" ref="L197" si="187">SUM(L198:L199)</f>
        <v>12.021754371135573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14.461264109755597</v>
      </c>
      <c r="G198" s="1">
        <f>'[1]Electricity and CHPs'!C$93-G199</f>
        <v>13.051649081885905</v>
      </c>
      <c r="H198" s="1">
        <f>'[1]Electricity and CHPs'!D$93-H199</f>
        <v>12.04563506630919</v>
      </c>
      <c r="I198" s="1">
        <f>'[1]Electricity and CHPs'!E$93-I199</f>
        <v>12.790296143026849</v>
      </c>
      <c r="J198" s="1">
        <f>'[2]Electricity and CHPs'!F$93-J199</f>
        <v>12.342948759407433</v>
      </c>
      <c r="K198" s="1">
        <f>'[2]Electricity and CHPs'!G$93-K199</f>
        <v>7.3154261280279016</v>
      </c>
      <c r="L198" s="1">
        <f>'[2]Electricity and CHPs'!H$93-L199</f>
        <v>9.6850313185292691E-4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4.5960778116064596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12.020785868003721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7.2306320548777991</v>
      </c>
      <c r="G200" s="1">
        <f t="shared" ref="G200:K200" si="188">SUM(G201:G202)</f>
        <v>6.5258245409429527</v>
      </c>
      <c r="H200" s="1">
        <f t="shared" si="188"/>
        <v>6.022817533154595</v>
      </c>
      <c r="I200" s="1">
        <f t="shared" si="188"/>
        <v>6.3951480715134235</v>
      </c>
      <c r="J200" s="1">
        <f t="shared" si="188"/>
        <v>6.1714743797037155</v>
      </c>
      <c r="K200" s="1">
        <f t="shared" si="188"/>
        <v>5.9557519698171806</v>
      </c>
      <c r="L200" s="1">
        <f t="shared" ref="L200" si="189">SUM(L201:L202)</f>
        <v>6.0108771855677867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7.2306320548777991</v>
      </c>
      <c r="G201" s="1">
        <f t="shared" si="190"/>
        <v>6.5258245409429527</v>
      </c>
      <c r="H201" s="1">
        <f t="shared" si="190"/>
        <v>6.022817533154595</v>
      </c>
      <c r="I201" s="1">
        <f t="shared" si="190"/>
        <v>6.3951480715134235</v>
      </c>
      <c r="J201" s="1">
        <f t="shared" si="190"/>
        <v>6.1714743797037155</v>
      </c>
      <c r="K201" s="1">
        <f t="shared" si="190"/>
        <v>3.6577130640139512</v>
      </c>
      <c r="L201" s="1">
        <f t="shared" ref="L201" si="191">L198*L140/L133</f>
        <v>4.8425156592646346E-4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2.2980389058032298</v>
      </c>
      <c r="L202" s="1">
        <f t="shared" ref="L202" si="193">L199*IFERROR(L141/L134,0)</f>
        <v>6.0103929340018603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7.2306320548777974</v>
      </c>
      <c r="G203" s="1">
        <f t="shared" ref="G203:K203" si="194">SUM(G204:G205)</f>
        <v>6.5258245409429527</v>
      </c>
      <c r="H203" s="1">
        <f t="shared" si="194"/>
        <v>6.022817533154595</v>
      </c>
      <c r="I203" s="1">
        <f t="shared" si="194"/>
        <v>6.3951480715134252</v>
      </c>
      <c r="J203" s="1">
        <f t="shared" si="194"/>
        <v>6.1714743797037173</v>
      </c>
      <c r="K203" s="1">
        <f t="shared" si="194"/>
        <v>5.9557519698171806</v>
      </c>
      <c r="L203" s="1">
        <f t="shared" ref="L203" si="195">SUM(L204:L205)</f>
        <v>6.0108771855677867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7.2306320548777974</v>
      </c>
      <c r="G204" s="1">
        <f t="shared" si="196"/>
        <v>6.5258245409429527</v>
      </c>
      <c r="H204" s="1">
        <f t="shared" si="196"/>
        <v>6.022817533154595</v>
      </c>
      <c r="I204" s="1">
        <f t="shared" si="196"/>
        <v>6.3951480715134252</v>
      </c>
      <c r="J204" s="1">
        <f t="shared" si="196"/>
        <v>6.1714743797037173</v>
      </c>
      <c r="K204" s="1">
        <f t="shared" si="196"/>
        <v>3.6577130640139504</v>
      </c>
      <c r="L204" s="1">
        <f t="shared" ref="L204" si="197">L198-L201</f>
        <v>4.8425156592646346E-4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2.2980389058032298</v>
      </c>
      <c r="L205" s="1">
        <f t="shared" ref="L205" si="198">L199-L202</f>
        <v>6.0103929340018603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1.291182291497539</v>
      </c>
      <c r="G206" s="1">
        <f t="shared" ref="G206:L206" si="199">G207</f>
        <v>0.37053463239347428</v>
      </c>
      <c r="H206" s="1">
        <f t="shared" si="199"/>
        <v>0.24996367111253251</v>
      </c>
      <c r="I206" s="1">
        <f t="shared" si="199"/>
        <v>2.4197264413727151</v>
      </c>
      <c r="J206" s="1">
        <f t="shared" si="199"/>
        <v>2.46425739823475</v>
      </c>
      <c r="K206" s="1">
        <f t="shared" si="199"/>
        <v>3.2756561427098201</v>
      </c>
      <c r="L206" s="1">
        <f t="shared" si="199"/>
        <v>0.50171153833005522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1.291182291497539</v>
      </c>
      <c r="G207" s="1">
        <f>'[1]Electricity and CHPs'!C$92</f>
        <v>0.37053463239347428</v>
      </c>
      <c r="H207" s="1">
        <f>'[1]Electricity and CHPs'!D$92</f>
        <v>0.24996367111253251</v>
      </c>
      <c r="I207" s="1">
        <f>'[1]Electricity and CHPs'!E$92</f>
        <v>2.4197264413727151</v>
      </c>
      <c r="J207" s="1">
        <f>'[2]Electricity and CHPs'!F$92</f>
        <v>2.46425739823475</v>
      </c>
      <c r="K207" s="1">
        <f>'[2]Electricity and CHPs'!G$92</f>
        <v>3.2756561427098201</v>
      </c>
      <c r="L207" s="1">
        <f>'[2]Electricity and CHPs'!H$92</f>
        <v>0.50171153833005522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5.6208424355043501E-2</v>
      </c>
      <c r="L208" s="1">
        <f t="shared" si="200"/>
        <v>5.8419421983588425E-2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5.6208424355043501E-2</v>
      </c>
      <c r="L209" s="1">
        <f>'[2]Electricity and CHPs'!H$96</f>
        <v>5.8419421983588425E-2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6.9427286530928125</v>
      </c>
      <c r="G210" s="1">
        <f t="shared" ref="G210:K210" si="201">SUM(G211,G217,G219,G225,G227,G229,G231)</f>
        <v>15.886470043182701</v>
      </c>
      <c r="H210" s="1">
        <f t="shared" si="201"/>
        <v>15.150397551782527</v>
      </c>
      <c r="I210" s="1">
        <f t="shared" si="201"/>
        <v>14.133382576701273</v>
      </c>
      <c r="J210" s="1">
        <f t="shared" si="201"/>
        <v>13.822872742597866</v>
      </c>
      <c r="K210" s="1">
        <f t="shared" si="201"/>
        <v>13.774908141694866</v>
      </c>
      <c r="L210" s="1">
        <f t="shared" ref="L210" si="202">SUM(L211,L217,L219,L225,L227,L229,L231)</f>
        <v>18.655348401752569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2.634685223217204</v>
      </c>
      <c r="G211" s="1">
        <f t="shared" ref="G211:L211" si="203">+G212</f>
        <v>1.1113583887764735</v>
      </c>
      <c r="H211" s="1">
        <f t="shared" si="203"/>
        <v>0.90264821911634763</v>
      </c>
      <c r="I211" s="1">
        <f t="shared" si="203"/>
        <v>0.90177963885768497</v>
      </c>
      <c r="J211" s="1">
        <f t="shared" si="203"/>
        <v>0.90177641526792618</v>
      </c>
      <c r="K211" s="1">
        <f t="shared" si="203"/>
        <v>0.90177751669750073</v>
      </c>
      <c r="L211" s="1">
        <f t="shared" si="203"/>
        <v>0.90177042358627579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2.634685223217204</v>
      </c>
      <c r="G212" s="1">
        <f>'[1]Electricity and CHPs'!C$97+G216</f>
        <v>1.1113583887764735</v>
      </c>
      <c r="H212" s="1">
        <f>'[1]Electricity and CHPs'!D$97+H216</f>
        <v>0.90264821911634763</v>
      </c>
      <c r="I212" s="1">
        <f>'[1]Electricity and CHPs'!E$97+I216</f>
        <v>0.90177963885768497</v>
      </c>
      <c r="J212" s="1">
        <f>'[2]Electricity and CHPs'!F$97+J216</f>
        <v>0.90177641526792618</v>
      </c>
      <c r="K212" s="1">
        <f>'[2]Electricity and CHPs'!G$97+K216</f>
        <v>0.90177751669750073</v>
      </c>
      <c r="L212" s="1">
        <f>'[2]Electricity and CHPs'!H$97+L216</f>
        <v>0.90177042358627579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1.7329074025118092</v>
      </c>
      <c r="G213" s="1">
        <f t="shared" ref="G213:L213" si="204">G214</f>
        <v>0.20958311363119275</v>
      </c>
      <c r="H213" s="1">
        <f t="shared" si="204"/>
        <v>8.7142257099936948E-4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1.7329074025118092</v>
      </c>
      <c r="G214" s="1">
        <f t="shared" ref="G214:K214" si="205">G212-G216</f>
        <v>0.20958311363119275</v>
      </c>
      <c r="H214" s="1">
        <f t="shared" si="205"/>
        <v>8.7142257099936948E-4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0.90177782070539469</v>
      </c>
      <c r="G215" s="1">
        <f t="shared" ref="G215:L215" si="207">G216</f>
        <v>0.90177527514528077</v>
      </c>
      <c r="H215" s="1">
        <f t="shared" si="207"/>
        <v>0.90177679654534826</v>
      </c>
      <c r="I215" s="1">
        <f t="shared" si="207"/>
        <v>0.90177963885768497</v>
      </c>
      <c r="J215" s="1">
        <f t="shared" si="207"/>
        <v>0.90177641526792618</v>
      </c>
      <c r="K215" s="1">
        <f t="shared" si="207"/>
        <v>0.90177751669750073</v>
      </c>
      <c r="L215" s="1">
        <f t="shared" si="207"/>
        <v>0.90177042358627579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0.90177782070539469</v>
      </c>
      <c r="G216" s="1">
        <f>'[1]Electricity and CHPs'!C$98</f>
        <v>0.90177527514528077</v>
      </c>
      <c r="H216" s="1">
        <f>'[1]Electricity and CHPs'!D$98</f>
        <v>0.90177679654534826</v>
      </c>
      <c r="I216" s="1">
        <f>'[1]Electricity and CHPs'!E$98</f>
        <v>0.90177963885768497</v>
      </c>
      <c r="J216" s="1">
        <f>'[2]Electricity and CHPs'!F$98</f>
        <v>0.90177641526792618</v>
      </c>
      <c r="K216" s="1">
        <f>'[2]Electricity and CHPs'!G$98</f>
        <v>0.90177751669750073</v>
      </c>
      <c r="L216" s="1">
        <f>'[2]Electricity and CHPs'!H$98</f>
        <v>0.90177042358627579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2.9000225438198712</v>
      </c>
      <c r="G217" s="1">
        <f t="shared" ref="G217:L217" si="208">+G218</f>
        <v>7.6036144987900212</v>
      </c>
      <c r="H217" s="1">
        <f t="shared" si="208"/>
        <v>7.056157207972773</v>
      </c>
      <c r="I217" s="1">
        <f t="shared" si="208"/>
        <v>2.1218324176479388</v>
      </c>
      <c r="J217" s="1">
        <f t="shared" si="208"/>
        <v>1.7126182385964832</v>
      </c>
      <c r="K217" s="1">
        <f t="shared" si="208"/>
        <v>1.7126048980392461</v>
      </c>
      <c r="L217" s="1">
        <f t="shared" si="208"/>
        <v>6.0501198931863236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2.9000225438198712</v>
      </c>
      <c r="G218" s="1">
        <f>'[1]Electricity and CHPs'!C$99</f>
        <v>7.6036144987900212</v>
      </c>
      <c r="H218" s="1">
        <f>'[1]Electricity and CHPs'!D$99</f>
        <v>7.056157207972773</v>
      </c>
      <c r="I218" s="1">
        <f>'[1]Electricity and CHPs'!E$99</f>
        <v>2.1218324176479388</v>
      </c>
      <c r="J218" s="1">
        <f>'[2]Electricity and CHPs'!F$99</f>
        <v>1.7126182385964832</v>
      </c>
      <c r="K218" s="1">
        <f>'[2]Electricity and CHPs'!G$99</f>
        <v>1.7126048980392461</v>
      </c>
      <c r="L218" s="1">
        <f>'[2]Electricity and CHPs'!H$99</f>
        <v>6.0501198931863236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0.18407183057608933</v>
      </c>
      <c r="G219" s="1">
        <f t="shared" ref="G219:L219" si="209">+G220</f>
        <v>0.18575860816385448</v>
      </c>
      <c r="H219" s="1">
        <f t="shared" si="209"/>
        <v>0.1851905022463034</v>
      </c>
      <c r="I219" s="1">
        <f t="shared" si="209"/>
        <v>0.18495312832747493</v>
      </c>
      <c r="J219" s="1">
        <f t="shared" si="209"/>
        <v>0.16952755798380129</v>
      </c>
      <c r="K219" s="1">
        <f t="shared" si="209"/>
        <v>1.3701843477911997E-4</v>
      </c>
      <c r="L219" s="1">
        <f t="shared" si="209"/>
        <v>2.1984625640259272E-6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0.18407183057608933</v>
      </c>
      <c r="G220" s="1">
        <f>'[1]Electricity and CHPs'!C$100</f>
        <v>0.18575860816385448</v>
      </c>
      <c r="H220" s="1">
        <f>'[1]Electricity and CHPs'!D$100</f>
        <v>0.1851905022463034</v>
      </c>
      <c r="I220" s="1">
        <f>'[1]Electricity and CHPs'!E$100</f>
        <v>0.18495312832747493</v>
      </c>
      <c r="J220" s="1">
        <f>'[2]Electricity and CHPs'!F$100</f>
        <v>0.16952755798380129</v>
      </c>
      <c r="K220" s="1">
        <f>'[2]Electricity and CHPs'!G$100</f>
        <v>1.3701843477911997E-4</v>
      </c>
      <c r="L220" s="1">
        <f>'[2]Electricity and CHPs'!H$100</f>
        <v>2.1984625640259272E-6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0.18407183057608933</v>
      </c>
      <c r="G221" s="1">
        <f t="shared" ref="G221:L221" si="210">G222</f>
        <v>0.18575860816385448</v>
      </c>
      <c r="H221" s="1">
        <f t="shared" si="210"/>
        <v>0.1851905022463034</v>
      </c>
      <c r="I221" s="1">
        <f t="shared" si="210"/>
        <v>0.18495312832747493</v>
      </c>
      <c r="J221" s="1">
        <f t="shared" si="210"/>
        <v>0.16952755798380129</v>
      </c>
      <c r="K221" s="1">
        <f t="shared" si="210"/>
        <v>1.3701843477911997E-4</v>
      </c>
      <c r="L221" s="1">
        <f t="shared" si="210"/>
        <v>2.1984625640259272E-6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0.18407183057608933</v>
      </c>
      <c r="G222" s="1">
        <f t="shared" ref="G222:K222" si="211">G220-G224</f>
        <v>0.18575860816385448</v>
      </c>
      <c r="H222" s="1">
        <f t="shared" si="211"/>
        <v>0.1851905022463034</v>
      </c>
      <c r="I222" s="1">
        <f t="shared" si="211"/>
        <v>0.18495312832747493</v>
      </c>
      <c r="J222" s="1">
        <f t="shared" si="211"/>
        <v>0.16952755798380129</v>
      </c>
      <c r="K222" s="1">
        <f t="shared" si="211"/>
        <v>1.3701843477911997E-4</v>
      </c>
      <c r="L222" s="1">
        <f t="shared" ref="L222" si="212">L220-L224</f>
        <v>2.1984625640259272E-6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1.2239490554796482</v>
      </c>
      <c r="G225" s="1">
        <f t="shared" ref="G225:L225" si="214">+G226</f>
        <v>1.1046123929723608</v>
      </c>
      <c r="H225" s="1">
        <f t="shared" si="214"/>
        <v>0.94706971953345853</v>
      </c>
      <c r="I225" s="1">
        <f t="shared" si="214"/>
        <v>0.73282714695160733</v>
      </c>
      <c r="J225" s="1">
        <f t="shared" si="214"/>
        <v>1.594930238078538</v>
      </c>
      <c r="K225" s="1">
        <f t="shared" si="214"/>
        <v>1.2345632210658068</v>
      </c>
      <c r="L225" s="1">
        <f t="shared" si="214"/>
        <v>0.7391807550665167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1.2239490554796482</v>
      </c>
      <c r="G226" s="1">
        <f>'[1]Electricity and CHPs'!C$101</f>
        <v>1.1046123929723608</v>
      </c>
      <c r="H226" s="1">
        <f>'[1]Electricity and CHPs'!D$101</f>
        <v>0.94706971953345853</v>
      </c>
      <c r="I226" s="1">
        <f>'[1]Electricity and CHPs'!E$101</f>
        <v>0.73282714695160733</v>
      </c>
      <c r="J226" s="1">
        <f>'[2]Electricity and CHPs'!F$101</f>
        <v>1.594930238078538</v>
      </c>
      <c r="K226" s="1">
        <f>'[2]Electricity and CHPs'!G$101</f>
        <v>1.2345632210658068</v>
      </c>
      <c r="L226" s="1">
        <f>'[2]Electricity and CHPs'!H$101</f>
        <v>0.7391807550665167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6.568231524479816E-5</v>
      </c>
      <c r="J227" s="1">
        <f t="shared" si="215"/>
        <v>3.4912434833593144E-5</v>
      </c>
      <c r="K227" s="1">
        <f t="shared" si="215"/>
        <v>3.5017901579064823E-5</v>
      </c>
      <c r="L227" s="1">
        <f t="shared" si="215"/>
        <v>3.5144497886808402E-5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6.568231524479816E-5</v>
      </c>
      <c r="J228" s="1">
        <f>'[2]Electricity and CHPs'!F$102</f>
        <v>3.4912434833593144E-5</v>
      </c>
      <c r="K228" s="1">
        <f>'[2]Electricity and CHPs'!G$102</f>
        <v>3.5017901579064823E-5</v>
      </c>
      <c r="L228" s="1">
        <f>'[2]Electricity and CHPs'!H$102</f>
        <v>3.5144497886808402E-5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6.6951772686630028E-5</v>
      </c>
      <c r="L229" s="1">
        <f t="shared" si="216"/>
        <v>6.7353751252782168E-5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6.6951772686630028E-5</v>
      </c>
      <c r="L230" s="1">
        <f>'[2]Electricity and CHPs'!H$90</f>
        <v>6.7353751252782168E-5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5.8811261544799898</v>
      </c>
      <c r="H231" s="1">
        <f t="shared" si="217"/>
        <v>6.0593319029136463</v>
      </c>
      <c r="I231" s="1">
        <f t="shared" si="217"/>
        <v>10.191924562601322</v>
      </c>
      <c r="J231" s="1">
        <f t="shared" si="217"/>
        <v>9.443985380236283</v>
      </c>
      <c r="K231" s="1">
        <f t="shared" si="217"/>
        <v>9.9257235177832666</v>
      </c>
      <c r="L231" s="1">
        <f t="shared" si="217"/>
        <v>10.964172633201748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5.8811261544799898</v>
      </c>
      <c r="H232" s="1">
        <f>'[1]Electricity and CHPs'!D$123</f>
        <v>6.0593319029136463</v>
      </c>
      <c r="I232" s="1">
        <f>'[1]Electricity and CHPs'!E$123</f>
        <v>10.191924562601322</v>
      </c>
      <c r="J232" s="1">
        <f>'[2]Electricity and CHPs'!F$123</f>
        <v>9.443985380236283</v>
      </c>
      <c r="K232" s="1">
        <f>'[2]Electricity and CHPs'!G$123</f>
        <v>9.9257235177832666</v>
      </c>
      <c r="L232" s="1">
        <f>'[2]Electricity and CHPs'!H$123</f>
        <v>10.964172633201748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6.5184329249412567</v>
      </c>
      <c r="G233" s="1">
        <f t="shared" ref="G233:K233" si="218">SUM(G234,G240,G273,G282,G288)</f>
        <v>8.254409238247046</v>
      </c>
      <c r="H233" s="1">
        <f t="shared" si="218"/>
        <v>7.219246290417292</v>
      </c>
      <c r="I233" s="1">
        <f t="shared" si="218"/>
        <v>7.2669690106962594</v>
      </c>
      <c r="J233" s="1">
        <f t="shared" si="218"/>
        <v>9.2434708774031282</v>
      </c>
      <c r="K233" s="1">
        <f t="shared" si="218"/>
        <v>9.6144828942083791</v>
      </c>
      <c r="L233" s="1">
        <f t="shared" ref="L233" si="219">SUM(L234,L240,L273,L282,L288)</f>
        <v>8.5961593992801095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0.92913892525545705</v>
      </c>
      <c r="G234" s="1">
        <f t="shared" ref="G234:L234" si="220">+G235</f>
        <v>2.069725559294302</v>
      </c>
      <c r="H234" s="1">
        <f t="shared" si="220"/>
        <v>1.4615311602964836</v>
      </c>
      <c r="I234" s="1">
        <f t="shared" si="220"/>
        <v>1.3081997356338326</v>
      </c>
      <c r="J234" s="1">
        <f t="shared" si="220"/>
        <v>0.84809259071704668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0.92913892525545705</v>
      </c>
      <c r="G235" s="1">
        <f>'[1]Electricity and CHPs'!C$104</f>
        <v>2.069725559294302</v>
      </c>
      <c r="H235" s="1">
        <f>'[1]Electricity and CHPs'!D$104</f>
        <v>1.4615311602964836</v>
      </c>
      <c r="I235" s="1">
        <f>'[1]Electricity and CHPs'!E$104</f>
        <v>1.3081997356338326</v>
      </c>
      <c r="J235" s="1">
        <f>'[2]Electricity and CHPs'!F$104</f>
        <v>0.84809259071704668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0.92913892525545705</v>
      </c>
      <c r="G236" s="1">
        <f t="shared" ref="G236:L236" si="221">G237</f>
        <v>2.069725559294302</v>
      </c>
      <c r="H236" s="1">
        <f t="shared" si="221"/>
        <v>1.4615311602964836</v>
      </c>
      <c r="I236" s="1">
        <f t="shared" si="221"/>
        <v>1.3081997356338326</v>
      </c>
      <c r="J236" s="1">
        <f t="shared" si="221"/>
        <v>0.84809259071704668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0.92913892525545705</v>
      </c>
      <c r="G237" s="1">
        <f t="shared" ref="G237:K237" si="222">G235-G239</f>
        <v>2.069725559294302</v>
      </c>
      <c r="H237" s="1">
        <f t="shared" si="222"/>
        <v>1.4615311602964836</v>
      </c>
      <c r="I237" s="1">
        <f t="shared" si="222"/>
        <v>1.3081997356338326</v>
      </c>
      <c r="J237" s="1">
        <f t="shared" si="222"/>
        <v>0.84809259071704668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2.994176265469239</v>
      </c>
      <c r="G240" s="1">
        <f t="shared" ref="G240:K240" si="227">SUM(G241:G250)</f>
        <v>2.509229392104432</v>
      </c>
      <c r="H240" s="1">
        <f t="shared" si="227"/>
        <v>2.3079063055533382</v>
      </c>
      <c r="I240" s="1">
        <f t="shared" si="227"/>
        <v>2.0495646898627693</v>
      </c>
      <c r="J240" s="1">
        <f t="shared" si="227"/>
        <v>2.2368332258515808</v>
      </c>
      <c r="K240" s="1">
        <f t="shared" si="227"/>
        <v>2.4214235583342694</v>
      </c>
      <c r="L240" s="1">
        <f t="shared" ref="L240" si="228">SUM(L241:L250)</f>
        <v>1.2139552073276803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0.77323268525507427</v>
      </c>
      <c r="G241" s="1">
        <f>'[1]Electricity and CHPs_IN'!C$39*0.75-G88-G242</f>
        <v>0.10289610885056202</v>
      </c>
      <c r="H241" s="1">
        <f>'[1]Electricity and CHPs_IN'!D$39*0.75-H88-H242</f>
        <v>0.60391520582834257</v>
      </c>
      <c r="I241" s="1">
        <f>'[1]Electricity and CHPs_IN'!E$39*0.75-I88-I242</f>
        <v>0.7253207766344294</v>
      </c>
      <c r="J241" s="1">
        <f>'[2]Electricity and CHPs'!F$103-J242</f>
        <v>0.15683406071291772</v>
      </c>
      <c r="K241" s="1">
        <f>'[2]Electricity and CHPs'!G$103-K242</f>
        <v>0.67893554767529563</v>
      </c>
      <c r="L241" s="1">
        <f>'[2]Electricity and CHPs'!H$103-L242</f>
        <v>0.13160763431393308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7.8423526941463401E-2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7.6105479360603495E-2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2.8652573710030916E-4</v>
      </c>
      <c r="J243" s="1">
        <f>'[2]Electricity and CHPs'!F$107</f>
        <v>2.2011447353179867E-4</v>
      </c>
      <c r="K243" s="1">
        <f>'[2]Electricity and CHPs'!G$107</f>
        <v>5.8069637379582677E-4</v>
      </c>
      <c r="L243" s="1">
        <f>'[2]Electricity and CHPs'!H$107</f>
        <v>3.3184620293539527E-4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3.8995668098109483E-2</v>
      </c>
      <c r="G244" s="1">
        <f>'[1]Electricity and CHPs'!C$109</f>
        <v>1.3081309956536313E-2</v>
      </c>
      <c r="H244" s="1">
        <f>'[1]Electricity and CHPs'!D$109</f>
        <v>2.4409927665052813E-2</v>
      </c>
      <c r="I244" s="1">
        <f>'[1]Electricity and CHPs'!E$109</f>
        <v>0</v>
      </c>
      <c r="J244" s="1">
        <f>'[2]Electricity and CHPs'!F$109</f>
        <v>6.2922137060778011E-2</v>
      </c>
      <c r="K244" s="1">
        <f>'[2]Electricity and CHPs'!G$109</f>
        <v>3.0404168600105235E-2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6.5047041871668196E-2</v>
      </c>
      <c r="G246" s="1">
        <f>'[1]Electricity and CHPs'!C$112</f>
        <v>6.4648187608966443E-2</v>
      </c>
      <c r="H246" s="1">
        <f>'[1]Electricity and CHPs'!D$112</f>
        <v>0.15355221033931393</v>
      </c>
      <c r="I246" s="1">
        <f>'[1]Electricity and CHPs'!E$112</f>
        <v>0</v>
      </c>
      <c r="J246" s="1">
        <f>'[2]Electricity and CHPs'!F$112</f>
        <v>0.59194240164569012</v>
      </c>
      <c r="K246" s="1">
        <f>'[2]Electricity and CHPs'!G$112</f>
        <v>0.26649667598018245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1.4243144673105808</v>
      </c>
      <c r="G248" s="1">
        <f>'[1]Electricity and CHPs'!C$115</f>
        <v>1.5783616651674248</v>
      </c>
      <c r="H248" s="1">
        <f>'[1]Electricity and CHPs'!D$115</f>
        <v>1.4829559701235877</v>
      </c>
      <c r="I248" s="1">
        <f>'[1]Electricity and CHPs'!E$115</f>
        <v>1.3239573874912396</v>
      </c>
      <c r="J248" s="1">
        <f>'[2]Electricity and CHPs'!F$115</f>
        <v>1.164913730188798</v>
      </c>
      <c r="K248" s="1">
        <f>'[2]Electricity and CHPs'!G$115</f>
        <v>1.0059103798940845</v>
      </c>
      <c r="L248" s="1">
        <f>'[2]Electricity and CHPs'!H$115</f>
        <v>1.0059102474502084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0.69258640293380602</v>
      </c>
      <c r="G249" s="1">
        <f>'[1]Electricity and CHPs'!C$116</f>
        <v>0.75024212052094263</v>
      </c>
      <c r="H249" s="1">
        <f>'[1]Electricity and CHPs'!D$116</f>
        <v>4.3072991597041317E-2</v>
      </c>
      <c r="I249" s="1">
        <f>'[1]Electricity and CHPs'!E$116</f>
        <v>0</v>
      </c>
      <c r="J249" s="1">
        <f>'[2]Electricity and CHPs'!F$116</f>
        <v>0.26000078176986507</v>
      </c>
      <c r="K249" s="1">
        <f>'[2]Electricity and CHPs'!G$116</f>
        <v>0.36067256286934257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1.5292687860704643</v>
      </c>
      <c r="G251" s="1">
        <f t="shared" ref="G251:K251" si="229">SUM(G252:G261)</f>
        <v>0.89319023117206753</v>
      </c>
      <c r="H251" s="1">
        <f t="shared" si="229"/>
        <v>0.77992765747450932</v>
      </c>
      <c r="I251" s="1">
        <f t="shared" si="229"/>
        <v>0.65706483839540275</v>
      </c>
      <c r="J251" s="1">
        <f t="shared" si="229"/>
        <v>1.0396532492930106</v>
      </c>
      <c r="K251" s="1">
        <f t="shared" si="229"/>
        <v>1.1481443739620183</v>
      </c>
      <c r="L251" s="1">
        <f t="shared" ref="L251" si="230">SUM(L252:L261)</f>
        <v>2.7926334177058262E-5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0.75323866808976614</v>
      </c>
      <c r="G252" s="1">
        <f t="shared" si="231"/>
        <v>9.8731319812056448E-2</v>
      </c>
      <c r="H252" s="1">
        <f t="shared" si="231"/>
        <v>0.57095579159873511</v>
      </c>
      <c r="I252" s="1">
        <f t="shared" si="231"/>
        <v>0.65680537851051923</v>
      </c>
      <c r="J252" s="1">
        <f t="shared" si="231"/>
        <v>0.15211314047346836</v>
      </c>
      <c r="K252" s="1">
        <f t="shared" si="231"/>
        <v>0.55069499967862856</v>
      </c>
      <c r="L252" s="1">
        <f t="shared" ref="L252" si="232">L241-L263</f>
        <v>1.7665983248371653E-5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6.3610521339914752E-2</v>
      </c>
      <c r="L253" s="1">
        <f t="shared" ref="L253" si="233">L242-L264</f>
        <v>1.0215806480390333E-5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2.5945988488349203E-4</v>
      </c>
      <c r="J254" s="1">
        <f t="shared" si="231"/>
        <v>2.1348872611208386E-4</v>
      </c>
      <c r="K254" s="1">
        <f t="shared" si="231"/>
        <v>4.7101170424178931E-4</v>
      </c>
      <c r="L254" s="1">
        <f t="shared" ref="L254" si="234">L243-L265</f>
        <v>4.4544448296276497E-8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3.7987329893848162E-2</v>
      </c>
      <c r="G255" s="1">
        <f t="shared" ref="G255:K255" si="235">G244-G266</f>
        <v>1.255183515982267E-2</v>
      </c>
      <c r="H255" s="1">
        <f t="shared" si="235"/>
        <v>2.3077725876684677E-2</v>
      </c>
      <c r="I255" s="1">
        <f t="shared" si="235"/>
        <v>0</v>
      </c>
      <c r="J255" s="1">
        <f t="shared" si="235"/>
        <v>6.102809447201038E-2</v>
      </c>
      <c r="K255" s="1">
        <f t="shared" si="235"/>
        <v>2.4661285853707499E-2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6.3365075115043537E-2</v>
      </c>
      <c r="G257" s="1">
        <f t="shared" si="239"/>
        <v>6.20315088431629E-2</v>
      </c>
      <c r="H257" s="1">
        <f t="shared" si="239"/>
        <v>0.14517190983089487</v>
      </c>
      <c r="I257" s="1">
        <f t="shared" si="239"/>
        <v>0</v>
      </c>
      <c r="J257" s="1">
        <f t="shared" si="239"/>
        <v>0.57412412383145484</v>
      </c>
      <c r="K257" s="1">
        <f t="shared" si="239"/>
        <v>0.21615952706522606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0.67467771297180645</v>
      </c>
      <c r="G260" s="1">
        <f t="shared" si="245"/>
        <v>0.71987556735702551</v>
      </c>
      <c r="H260" s="1">
        <f t="shared" si="245"/>
        <v>4.0722230168194616E-2</v>
      </c>
      <c r="I260" s="1">
        <f t="shared" si="245"/>
        <v>0</v>
      </c>
      <c r="J260" s="1">
        <f t="shared" si="245"/>
        <v>0.25217440178996497</v>
      </c>
      <c r="K260" s="1">
        <f t="shared" si="245"/>
        <v>0.2925470283202995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1.4649074793987744</v>
      </c>
      <c r="G262" s="1">
        <f t="shared" ref="G262:K262" si="249">SUM(G263:G272)</f>
        <v>1.6160391609323648</v>
      </c>
      <c r="H262" s="1">
        <f t="shared" si="249"/>
        <v>1.5279786480788291</v>
      </c>
      <c r="I262" s="1">
        <f t="shared" si="249"/>
        <v>1.3924998514673665</v>
      </c>
      <c r="J262" s="1">
        <f t="shared" si="249"/>
        <v>1.19717997655857</v>
      </c>
      <c r="K262" s="1">
        <f t="shared" si="249"/>
        <v>1.2732791843722513</v>
      </c>
      <c r="L262" s="1">
        <f t="shared" ref="L262" si="250">SUM(L263:L272)</f>
        <v>1.2139272809935033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1.9994017165308169E-2</v>
      </c>
      <c r="G263" s="1">
        <f t="shared" si="251"/>
        <v>4.1647890385055749E-3</v>
      </c>
      <c r="H263" s="1">
        <f t="shared" si="251"/>
        <v>3.2959414229607437E-2</v>
      </c>
      <c r="I263" s="1">
        <f t="shared" si="251"/>
        <v>6.851539812391011E-2</v>
      </c>
      <c r="J263" s="1">
        <f t="shared" si="251"/>
        <v>4.7209202394493674E-3</v>
      </c>
      <c r="K263" s="1">
        <f t="shared" si="251"/>
        <v>0.12824054799666706</v>
      </c>
      <c r="L263" s="1">
        <f t="shared" ref="L263" si="252">L241*IFERROR(L120/L88,0)</f>
        <v>0.1315899683306847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1.4813005601548643E-2</v>
      </c>
      <c r="L264" s="1">
        <f t="shared" ref="L264" si="253">L242*IFERROR(L121/L89,0)</f>
        <v>7.6095263554123105E-2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2.7065852216817114E-5</v>
      </c>
      <c r="J265" s="1">
        <f t="shared" si="251"/>
        <v>6.6257474197148095E-6</v>
      </c>
      <c r="K265" s="1">
        <f t="shared" si="251"/>
        <v>1.0968466955403745E-4</v>
      </c>
      <c r="L265" s="1">
        <f t="shared" ref="L265" si="254">L243*IFERROR(L122/L90,0)</f>
        <v>3.31801658487099E-4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1.0083382042613215E-3</v>
      </c>
      <c r="G266" s="1">
        <f t="shared" si="251"/>
        <v>5.2947479671364356E-4</v>
      </c>
      <c r="H266" s="1">
        <f t="shared" si="251"/>
        <v>1.3322017883681378E-3</v>
      </c>
      <c r="I266" s="1">
        <f t="shared" si="251"/>
        <v>0</v>
      </c>
      <c r="J266" s="1">
        <f t="shared" si="251"/>
        <v>1.894042588767628E-3</v>
      </c>
      <c r="K266" s="1">
        <f t="shared" si="251"/>
        <v>5.7428827463977365E-3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1.6819667566246592E-3</v>
      </c>
      <c r="G268" s="1">
        <f t="shared" si="251"/>
        <v>2.6166787658035403E-3</v>
      </c>
      <c r="H268" s="1">
        <f t="shared" si="251"/>
        <v>8.3803005084190554E-3</v>
      </c>
      <c r="I268" s="1">
        <f t="shared" si="251"/>
        <v>0</v>
      </c>
      <c r="J268" s="1">
        <f t="shared" si="251"/>
        <v>1.7818277814235242E-2</v>
      </c>
      <c r="K268" s="1">
        <f t="shared" si="251"/>
        <v>5.0337148914956373E-2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1.4243144673105808</v>
      </c>
      <c r="G270" s="1">
        <f t="shared" si="251"/>
        <v>1.5783616651674248</v>
      </c>
      <c r="H270" s="1">
        <f t="shared" si="251"/>
        <v>1.4829559701235877</v>
      </c>
      <c r="I270" s="1">
        <f t="shared" si="251"/>
        <v>1.3239573874912396</v>
      </c>
      <c r="J270" s="1">
        <f t="shared" si="251"/>
        <v>1.164913730188798</v>
      </c>
      <c r="K270" s="1">
        <f t="shared" si="251"/>
        <v>1.0059103798940845</v>
      </c>
      <c r="L270" s="1">
        <f t="shared" ref="L270" si="259">L248*IFERROR(L127/L95,0)</f>
        <v>1.0059102474502084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1.7908689961999617E-2</v>
      </c>
      <c r="G271" s="1">
        <f t="shared" si="251"/>
        <v>3.0366553163917172E-2</v>
      </c>
      <c r="H271" s="1">
        <f t="shared" si="251"/>
        <v>2.3507614288467028E-3</v>
      </c>
      <c r="I271" s="1">
        <f t="shared" si="251"/>
        <v>0</v>
      </c>
      <c r="J271" s="1">
        <f t="shared" si="251"/>
        <v>7.8263799799000895E-3</v>
      </c>
      <c r="K271" s="1">
        <f t="shared" si="251"/>
        <v>6.812553454904309E-2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1.9348329464724143</v>
      </c>
      <c r="G273" s="1">
        <f t="shared" ref="G273:K273" si="262">SUM(G274:G275)</f>
        <v>1.8587704969302237</v>
      </c>
      <c r="H273" s="1">
        <f t="shared" si="262"/>
        <v>9.6126317261569661E-3</v>
      </c>
      <c r="I273" s="1">
        <f t="shared" si="262"/>
        <v>8.8029153962608606E-3</v>
      </c>
      <c r="J273" s="1">
        <f t="shared" si="262"/>
        <v>3.5401615976331049E-3</v>
      </c>
      <c r="K273" s="1">
        <f t="shared" si="262"/>
        <v>4.2093943578625281E-2</v>
      </c>
      <c r="L273" s="1">
        <f t="shared" ref="L273" si="263">SUM(L274:L275)</f>
        <v>0.98984241215934698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1.9348329464724143</v>
      </c>
      <c r="G274" s="1">
        <f>'[1]Electricity and CHPs'!C$106-G275</f>
        <v>1.8587704969302237</v>
      </c>
      <c r="H274" s="1">
        <f>'[1]Electricity and CHPs'!D$106-H275</f>
        <v>9.6126317261569661E-3</v>
      </c>
      <c r="I274" s="1">
        <f>'[1]Electricity and CHPs'!E$106-I275</f>
        <v>8.8029153962608606E-3</v>
      </c>
      <c r="J274" s="1">
        <f>'[2]Electricity and CHPs'!F$106-J275</f>
        <v>3.5401615976331049E-3</v>
      </c>
      <c r="K274" s="1">
        <f>'[2]Electricity and CHPs'!G$106-K275</f>
        <v>1.5911389113570443E-2</v>
      </c>
      <c r="L274" s="1">
        <f>'[2]Electricity and CHPs'!H$106-L275</f>
        <v>4.2452861577013667E-4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2.6182554465054839E-2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0.98941788354357685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1.9348329464724143</v>
      </c>
      <c r="G279" s="1">
        <f t="shared" ref="G279:K279" si="266">SUM(G280:G281)</f>
        <v>1.8587704969302237</v>
      </c>
      <c r="H279" s="1">
        <f t="shared" si="266"/>
        <v>9.6126317261569661E-3</v>
      </c>
      <c r="I279" s="1">
        <f t="shared" si="266"/>
        <v>8.8029153962608606E-3</v>
      </c>
      <c r="J279" s="1">
        <f t="shared" si="266"/>
        <v>3.5401615976331049E-3</v>
      </c>
      <c r="K279" s="1">
        <f t="shared" si="266"/>
        <v>4.2093943578625281E-2</v>
      </c>
      <c r="L279" s="1">
        <f t="shared" ref="L279" si="267">SUM(L280:L281)</f>
        <v>0.98984241215934698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1.9348329464724143</v>
      </c>
      <c r="G280" s="1">
        <f t="shared" ref="G280:K280" si="268">G274</f>
        <v>1.8587704969302237</v>
      </c>
      <c r="H280" s="1">
        <f t="shared" si="268"/>
        <v>9.6126317261569661E-3</v>
      </c>
      <c r="I280" s="1">
        <f t="shared" si="268"/>
        <v>8.8029153962608606E-3</v>
      </c>
      <c r="J280" s="1">
        <f t="shared" si="268"/>
        <v>3.5401615976331049E-3</v>
      </c>
      <c r="K280" s="1">
        <f t="shared" si="268"/>
        <v>1.5911389113570443E-2</v>
      </c>
      <c r="L280" s="1">
        <f t="shared" ref="L280" si="269">L274</f>
        <v>4.2452861577013667E-4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2.6182554465054839E-2</v>
      </c>
      <c r="L281" s="1">
        <f t="shared" ref="L281" si="271">L275</f>
        <v>0.98941788354357685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0.66028478774414656</v>
      </c>
      <c r="G282" s="1">
        <f t="shared" ref="G282:K282" si="272">SUM(G283:G287)</f>
        <v>1.8166837899180892</v>
      </c>
      <c r="H282" s="1">
        <f t="shared" si="272"/>
        <v>3.4401961928413129</v>
      </c>
      <c r="I282" s="1">
        <f t="shared" si="272"/>
        <v>3.8721735214540298</v>
      </c>
      <c r="J282" s="1">
        <f t="shared" si="272"/>
        <v>6.1519619687424258</v>
      </c>
      <c r="K282" s="1">
        <f t="shared" si="272"/>
        <v>7.0197854444234391</v>
      </c>
      <c r="L282" s="1">
        <f t="shared" ref="L282" si="273">SUM(L283:L287)</f>
        <v>6.2762368684871417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0.66028478774414656</v>
      </c>
      <c r="G283" s="1">
        <f>'[1]Electricity and CHPs'!C$105-G284</f>
        <v>1.8166837899180892</v>
      </c>
      <c r="H283" s="1">
        <f>'[1]Electricity and CHPs'!D$105-H284</f>
        <v>3.4401961928413129</v>
      </c>
      <c r="I283" s="1">
        <f>'[1]Electricity and CHPs'!E$105-I284</f>
        <v>3.8721735214540298</v>
      </c>
      <c r="J283" s="1">
        <f>'[2]Electricity and CHPs'!F$105-J284</f>
        <v>5.8455672293217704</v>
      </c>
      <c r="K283" s="1">
        <f>'[2]Electricity and CHPs'!G$105-K284</f>
        <v>5.1901023407022313</v>
      </c>
      <c r="L283" s="1">
        <f>'[2]Electricity and CHPs'!H$105-L284</f>
        <v>1.8957119038810042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1.5256256068750587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4.3697142467727552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5.4413959768028382E-3</v>
      </c>
      <c r="K285" s="1">
        <f>'[2]Electricity and CHPs'!G$110</f>
        <v>5.5156463961112271E-3</v>
      </c>
      <c r="L285" s="1">
        <f>'[2]Electricity and CHPs'!H$110</f>
        <v>1.9464674939061464E-3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0.30005312597388589</v>
      </c>
      <c r="K286" s="1">
        <f>'[2]Electricity and CHPs'!G$113</f>
        <v>0.29739991209121919</v>
      </c>
      <c r="L286" s="1">
        <f>'[2]Electricity and CHPs'!H$113</f>
        <v>8.360741462119502E-3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9.0021746996661036E-4</v>
      </c>
      <c r="K287" s="1">
        <f>'[2]Electricity and CHPs'!G$117</f>
        <v>1.1419383588196458E-3</v>
      </c>
      <c r="L287" s="1">
        <f>'[2]Electricity and CHPs'!H$117</f>
        <v>5.0350887735653362E-4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2.8228148349367144E-2</v>
      </c>
      <c r="J288" s="1">
        <f t="shared" si="274"/>
        <v>3.0429304944409952E-3</v>
      </c>
      <c r="K288" s="1">
        <f t="shared" si="274"/>
        <v>0.13117994787204446</v>
      </c>
      <c r="L288" s="1">
        <f t="shared" ref="L288" si="275">SUM(L289:L290)</f>
        <v>0.1161249113059407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2.8228148349367144E-2</v>
      </c>
      <c r="J289" s="1">
        <f>'[2]Electricity and CHPs'!F$108</f>
        <v>2.3825636170990675E-3</v>
      </c>
      <c r="K289" s="1">
        <f>'[2]Electricity and CHPs'!G$108</f>
        <v>0.11458350815891469</v>
      </c>
      <c r="L289" s="1">
        <f>'[2]Electricity and CHPs'!H$108</f>
        <v>0.1067775982521417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6.6036687734192774E-4</v>
      </c>
      <c r="K290" s="1">
        <f>'[2]Electricity and CHPs'!G$119</f>
        <v>1.6596439713129782E-2</v>
      </c>
      <c r="L290" s="1">
        <f>'[2]Electricity and CHPs'!H$119</f>
        <v>9.3473130537990012E-3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437.70152380020505</v>
      </c>
      <c r="G291" s="3">
        <f t="shared" ref="G291" si="276">SUM(G292,G294,G302,G310,G358,G379,G387,G389,G397,G401,G395)</f>
        <v>419.65561538565208</v>
      </c>
      <c r="H291" s="3">
        <f t="shared" ref="H291" si="277">SUM(H292,H294,H302,H310,H358,H379,H387,H389,H397,H401,H395)</f>
        <v>429.44868097883068</v>
      </c>
      <c r="I291" s="3">
        <f t="shared" ref="I291" si="278">SUM(I292,I294,I302,I310,I358,I379,I387,I389,I397,I401,I395)</f>
        <v>445.98858099281875</v>
      </c>
      <c r="J291" s="3">
        <f t="shared" ref="J291" si="279">SUM(J292,J294,J302,J310,J358,J379,J387,J389,J397,J401,J395)</f>
        <v>429.14386918148176</v>
      </c>
      <c r="K291" s="3">
        <f t="shared" ref="K291:L291" si="280">SUM(K292,K294,K302,K310,K358,K379,K387,K389,K397,K401,K395)</f>
        <v>435.85079085134186</v>
      </c>
      <c r="L291" s="3">
        <f t="shared" si="280"/>
        <v>561.35370307319488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250.94818946672044</v>
      </c>
      <c r="G292" s="1">
        <f t="shared" ref="G292:L292" si="281">G293</f>
        <v>253.2998850662751</v>
      </c>
      <c r="H292" s="1">
        <f t="shared" si="281"/>
        <v>232.95381994855762</v>
      </c>
      <c r="I292" s="1">
        <f t="shared" si="281"/>
        <v>210.99019673418002</v>
      </c>
      <c r="J292" s="1">
        <f t="shared" si="281"/>
        <v>190.50116506642999</v>
      </c>
      <c r="K292" s="1">
        <f t="shared" si="281"/>
        <v>190.50117069540974</v>
      </c>
      <c r="L292" s="1">
        <f t="shared" si="281"/>
        <v>285.77954994924227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250.94818946672044</v>
      </c>
      <c r="G293" s="1">
        <f>'[1]Electricity and CHPs_IN'!C$14</f>
        <v>253.2998850662751</v>
      </c>
      <c r="H293" s="1">
        <f>'[1]Electricity and CHPs_IN'!D$14</f>
        <v>232.95381994855762</v>
      </c>
      <c r="I293" s="1">
        <f>'[1]Electricity and CHPs_IN'!E$14</f>
        <v>210.99019673418002</v>
      </c>
      <c r="J293" s="1">
        <f>'[2]Electricity and CHPs_IN'!F$14</f>
        <v>190.50116506642999</v>
      </c>
      <c r="K293" s="1">
        <f>'[2]Electricity and CHPs_IN'!G$14</f>
        <v>190.50117069540974</v>
      </c>
      <c r="L293" s="1">
        <f>'[2]Electricity and CHPs_IN'!H$14</f>
        <v>285.77954994924227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149.43048395881004</v>
      </c>
      <c r="G294" s="1">
        <f t="shared" ref="G294:K294" si="283">SUM(G295:G297)</f>
        <v>125.60698324405315</v>
      </c>
      <c r="H294" s="1">
        <f t="shared" si="283"/>
        <v>137.14139880288545</v>
      </c>
      <c r="I294" s="1">
        <f t="shared" si="283"/>
        <v>151.25678959878701</v>
      </c>
      <c r="J294" s="1">
        <f t="shared" si="283"/>
        <v>151.28651888256937</v>
      </c>
      <c r="K294" s="1">
        <f t="shared" si="283"/>
        <v>151.324738900429</v>
      </c>
      <c r="L294" s="1">
        <f t="shared" ref="L294" si="284">SUM(L295:L297)</f>
        <v>151.4012935535776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66.745680112610472</v>
      </c>
      <c r="G295" s="1">
        <f>'[1]Electricity and CHPs_IN'!C$15</f>
        <v>49.798797638350962</v>
      </c>
      <c r="H295" s="1">
        <f>'[1]Electricity and CHPs_IN'!D$15</f>
        <v>69.090669467554392</v>
      </c>
      <c r="I295" s="1">
        <f>'[1]Electricity and CHPs_IN'!E$15</f>
        <v>70.809472620928375</v>
      </c>
      <c r="J295" s="1">
        <f>'[2]Electricity and CHPs_IN'!F$15</f>
        <v>71.582529759456136</v>
      </c>
      <c r="K295" s="1">
        <f>'[2]Electricity and CHPs_IN'!G$15</f>
        <v>72.666766131941159</v>
      </c>
      <c r="L295" s="1">
        <f>'[2]Electricity and CHPs_IN'!H$15</f>
        <v>74.835911068843586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66.632401302559771</v>
      </c>
      <c r="G296" s="1">
        <f>'[1]Electricity and CHPs_IN'!C$16</f>
        <v>55.763999499234785</v>
      </c>
      <c r="H296" s="1">
        <f>'[1]Electricity and CHPs_IN'!D$16</f>
        <v>65.55693882909793</v>
      </c>
      <c r="I296" s="1">
        <f>'[1]Electricity and CHPs_IN'!E$16</f>
        <v>64.509539778207909</v>
      </c>
      <c r="J296" s="1">
        <f>'[2]Electricity and CHPs_IN'!F$16</f>
        <v>63.734799571754991</v>
      </c>
      <c r="K296" s="1">
        <f>'[2]Electricity and CHPs_IN'!G$16</f>
        <v>62.650564855208074</v>
      </c>
      <c r="L296" s="1">
        <f>'[2]Electricity and CHPs_IN'!H$16</f>
        <v>60.481420553458335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16.052402543639801</v>
      </c>
      <c r="G297" s="1">
        <f>'[1]Electricity and CHPs_IN'!C$13</f>
        <v>20.044186106467407</v>
      </c>
      <c r="H297" s="1">
        <f>'[1]Electricity and CHPs_IN'!D$13</f>
        <v>2.4937905062331391</v>
      </c>
      <c r="I297" s="1">
        <f>'[1]Electricity and CHPs_IN'!E$13</f>
        <v>15.937777199650721</v>
      </c>
      <c r="J297" s="1">
        <f>'[2]Electricity and CHPs_IN'!F$13</f>
        <v>15.96918955135825</v>
      </c>
      <c r="K297" s="1">
        <f>'[2]Electricity and CHPs_IN'!G$13</f>
        <v>16.00740791327976</v>
      </c>
      <c r="L297" s="1">
        <f>'[2]Electricity and CHPs_IN'!H$13</f>
        <v>16.083961931275677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0.15078327648927173</v>
      </c>
      <c r="G298" s="1">
        <f t="shared" ref="G298:K298" si="285">SUM(G299:G301)</f>
        <v>5.4810418737692393E-2</v>
      </c>
      <c r="H298" s="1">
        <f t="shared" si="285"/>
        <v>6.2099059537261005E-2</v>
      </c>
      <c r="I298" s="1">
        <f t="shared" si="285"/>
        <v>7.8412874283016118E-2</v>
      </c>
      <c r="J298" s="1">
        <f t="shared" si="285"/>
        <v>0.11035740401593716</v>
      </c>
      <c r="K298" s="1">
        <f t="shared" si="285"/>
        <v>0.24418071972997407</v>
      </c>
      <c r="L298" s="1">
        <f t="shared" ref="L298" si="286">SUM(L299:L301)</f>
        <v>9.084002644238961E-5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0.12564086842017971</v>
      </c>
      <c r="G299" s="1">
        <f>'[1]Electricity and CHPs_IN'!C$18</f>
        <v>1.4020265991828238E-3</v>
      </c>
      <c r="H299" s="1">
        <f>'[1]Electricity and CHPs_IN'!D$18</f>
        <v>1.241361486941066E-2</v>
      </c>
      <c r="I299" s="1">
        <f>'[1]Electricity and CHPs_IN'!E$18</f>
        <v>2.7090183728370261E-3</v>
      </c>
      <c r="J299" s="1">
        <f>'[2]Electricity and CHPs_IN'!F$18</f>
        <v>1.118047299445522E-3</v>
      </c>
      <c r="K299" s="1">
        <f>'[2]Electricity and CHPs_IN'!G$18</f>
        <v>6.658144640283587E-3</v>
      </c>
      <c r="L299" s="1">
        <f>'[2]Electricity and CHPs_IN'!H$18</f>
        <v>8.0993969684874255E-5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3.9125952708611977E-3</v>
      </c>
      <c r="G300" s="1">
        <f>IFERROR(G72/SUM(G72,G185),0)*'[1]Electricity and CHPs_IN'!C$28</f>
        <v>3.3395188305036745E-4</v>
      </c>
      <c r="H300" s="1">
        <f>IFERROR(H72/SUM(H72,H185),0)*'[1]Electricity and CHPs_IN'!D$28</f>
        <v>1.2172748144924262E-3</v>
      </c>
      <c r="I300" s="1">
        <f>IFERROR(I72/SUM(I72,I185),0)*'[1]Electricity and CHPs_IN'!E$28</f>
        <v>1.5240559376263991E-3</v>
      </c>
      <c r="J300" s="1">
        <f>IFERROR(J72/SUM(J72,J185),0)*'[2]Electricity and CHPs_IN'!F$28</f>
        <v>2.2338108565459329E-4</v>
      </c>
      <c r="K300" s="1">
        <f>IFERROR(K72/SUM(K72,K185),0)*'[2]Electricity and CHPs_IN'!G$28</f>
        <v>0.23752257508969049</v>
      </c>
      <c r="L300" s="1">
        <f>IFERROR(L72/SUM(L72,L185),0)*'[2]Electricity and CHPs_IN'!H$28</f>
        <v>9.8460567575153495E-6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2.1229812798230833E-2</v>
      </c>
      <c r="G301" s="1">
        <f>IFERROR(G73/SUM(G73,G235),0)*'[1]Electricity and CHPs_IN'!C$41</f>
        <v>5.3074440255459203E-2</v>
      </c>
      <c r="H301" s="1">
        <f>IFERROR(H73/SUM(H73,H235),0)*'[1]Electricity and CHPs_IN'!D$41</f>
        <v>4.8468169853357917E-2</v>
      </c>
      <c r="I301" s="1">
        <f>IFERROR(I73/SUM(I73,I235),0)*'[1]Electricity and CHPs_IN'!E$41</f>
        <v>7.4179799972552696E-2</v>
      </c>
      <c r="J301" s="1">
        <f>IFERROR(J73/SUM(J73,J235),0)*'[2]Electricity and CHPs_IN'!F$41</f>
        <v>0.10901597563083705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0.15078327648927173</v>
      </c>
      <c r="G302" s="1">
        <f t="shared" ref="G302:K302" si="287">G298</f>
        <v>5.4810418737692393E-2</v>
      </c>
      <c r="H302" s="1">
        <f t="shared" si="287"/>
        <v>6.2099059537261005E-2</v>
      </c>
      <c r="I302" s="1">
        <f t="shared" si="287"/>
        <v>7.8412874283016118E-2</v>
      </c>
      <c r="J302" s="1">
        <f t="shared" si="287"/>
        <v>0.11035740401593716</v>
      </c>
      <c r="K302" s="1">
        <f t="shared" si="287"/>
        <v>0.24418071972997407</v>
      </c>
      <c r="L302" s="1">
        <f t="shared" ref="L302" si="288">L298</f>
        <v>9.084002644238961E-5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0.12564086842017971</v>
      </c>
      <c r="G303" s="1">
        <f t="shared" si="289"/>
        <v>1.4020265991828238E-3</v>
      </c>
      <c r="H303" s="1">
        <f t="shared" si="289"/>
        <v>1.241361486941066E-2</v>
      </c>
      <c r="I303" s="1">
        <f t="shared" si="289"/>
        <v>2.7090183728370261E-3</v>
      </c>
      <c r="J303" s="1">
        <f t="shared" si="289"/>
        <v>1.118047299445522E-3</v>
      </c>
      <c r="K303" s="1">
        <f t="shared" si="289"/>
        <v>6.658144640283587E-3</v>
      </c>
      <c r="L303" s="1">
        <f t="shared" ref="L303" si="290">L299</f>
        <v>8.0993969684874255E-5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3.9125952708611977E-3</v>
      </c>
      <c r="G304" s="1">
        <f t="shared" si="291"/>
        <v>3.3395188305036745E-4</v>
      </c>
      <c r="H304" s="1">
        <f t="shared" si="291"/>
        <v>1.2172748144924262E-3</v>
      </c>
      <c r="I304" s="1">
        <f t="shared" si="291"/>
        <v>1.5240559376263991E-3</v>
      </c>
      <c r="J304" s="1">
        <f t="shared" si="291"/>
        <v>2.2338108565459329E-4</v>
      </c>
      <c r="K304" s="1">
        <f t="shared" si="291"/>
        <v>0.23752257508969049</v>
      </c>
      <c r="L304" s="1">
        <f t="shared" ref="L304" si="292">L300</f>
        <v>9.8460567575153495E-6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2.1229812798230833E-2</v>
      </c>
      <c r="G305" s="1">
        <f t="shared" si="293"/>
        <v>5.3074440255459203E-2</v>
      </c>
      <c r="H305" s="1">
        <f t="shared" si="293"/>
        <v>4.8468169853357917E-2</v>
      </c>
      <c r="I305" s="1">
        <f t="shared" si="293"/>
        <v>7.4179799972552696E-2</v>
      </c>
      <c r="J305" s="1">
        <f t="shared" si="293"/>
        <v>0.10901597563083705</v>
      </c>
      <c r="K305" s="1">
        <f t="shared" si="293"/>
        <v>0</v>
      </c>
      <c r="L305" s="1">
        <f t="shared" ref="L305" si="294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4.0783641509408959</v>
      </c>
      <c r="G310" s="1">
        <f t="shared" ref="G310:K310" si="295">SUM(G311:G325)</f>
        <v>2.2105065786506479</v>
      </c>
      <c r="H310" s="1">
        <f t="shared" si="295"/>
        <v>2.1691640241275727</v>
      </c>
      <c r="I310" s="1">
        <f t="shared" si="295"/>
        <v>2.2727556167666498</v>
      </c>
      <c r="J310" s="1">
        <f t="shared" si="295"/>
        <v>2.0866280556762207</v>
      </c>
      <c r="K310" s="1">
        <f t="shared" si="295"/>
        <v>2.9439272119642861</v>
      </c>
      <c r="L310" s="1">
        <f t="shared" ref="L310" si="296">SUM(L311:L325)</f>
        <v>1.8726903346873374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8.3277305446995702E-6</v>
      </c>
      <c r="L311" s="1">
        <f>'[2]Electricity and CHPs_IN'!H$21</f>
        <v>4.7502178916770492E-3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6.5415200367405671E-6</v>
      </c>
      <c r="L312" s="1">
        <f>'[2]Electricity and CHPs_IN'!H$22</f>
        <v>3.5547750926827881E-3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1.2852580790991923</v>
      </c>
      <c r="G314" s="1">
        <f>IFERROR(G86/SUM(G86+G189),0)*'[1]Electricity and CHPs_IN'!C$24</f>
        <v>4.4451583604234682E-3</v>
      </c>
      <c r="H314" s="1">
        <f>IFERROR(H86/SUM(H86+H189),0)*'[1]Electricity and CHPs_IN'!D$24</f>
        <v>5.702796721300368E-3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0.89329410596014336</v>
      </c>
      <c r="G316" s="1">
        <f>G88/SUM(G88,G241)*'[1]Electricity and CHPs_IN'!C$39</f>
        <v>0.12112387926189412</v>
      </c>
      <c r="H316" s="1">
        <f>H88/SUM(H88,H241)*'[1]Electricity and CHPs_IN'!D$39</f>
        <v>0.72264746605449059</v>
      </c>
      <c r="I316" s="1">
        <f>I88/SUM(I88,I241)*'[1]Electricity and CHPs_IN'!E$39</f>
        <v>0.89252809830678592</v>
      </c>
      <c r="J316" s="1">
        <f>J88/SUM(J88,J241)*'[2]Electricity and CHPs_IN'!F$39</f>
        <v>0.10194733891450275</v>
      </c>
      <c r="K316" s="1">
        <f>K88/SUM(K88,K241)*'[2]Electricity and CHPs_IN'!G$39</f>
        <v>0.88272088137713245</v>
      </c>
      <c r="L316" s="1">
        <f>L88/SUM(L88,L241)*'[2]Electricity and CHPs_IN'!H$39</f>
        <v>0.25944237739142834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0.1005655873310054</v>
      </c>
      <c r="L317" s="1">
        <f>IFERROR(L89/SUM(L89,L242),0)*'[2]Electricity and CHPs_IN'!H$40</f>
        <v>0.1011490464005967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IFERROR(F91/SUM(F91,F244)*'[1]Electricity and CHPs_IN'!B$48,0)</f>
        <v>2.3583549854872293E-2</v>
      </c>
      <c r="G319" s="1">
        <f>IFERROR(G91/SUM(G91,G244)*'[1]Electricity and CHPs_IN'!C$48,0)</f>
        <v>6.2075674090463443E-3</v>
      </c>
      <c r="H319" s="1">
        <f>IFERROR(H91/SUM(H91,H244)*'[1]Electricity and CHPs_IN'!D$48,0)</f>
        <v>1.3739712233028873E-2</v>
      </c>
      <c r="I319" s="1">
        <f>IFERROR(I91/SUM(I91,I244)*'[1]Electricity and CHPs_IN'!E$48,0)</f>
        <v>0</v>
      </c>
      <c r="J319" s="1">
        <f>IFERROR(J91/SUM(J91,J244)*'[1]Electricity and CHPs_IN'!F$48,0)</f>
        <v>0</v>
      </c>
      <c r="K319" s="1">
        <f>IFERROR(K91/SUM(K91,K244)*'[1]Electricity and CHPs_IN'!G$48,0)</f>
        <v>0</v>
      </c>
      <c r="L319" s="1">
        <f>IFERROR(L91/SUM(L91,L244)*'[1]Electricity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3.9667631568460732E-2</v>
      </c>
      <c r="G321" s="1">
        <f>IFERROR(G93/SUM(G93,G246),0)*'[1]Electricity and CHPs_IN'!C$51</f>
        <v>3.2809803873681834E-2</v>
      </c>
      <c r="H321" s="1">
        <f>IFERROR(H93/SUM(H93,H246),0)*'[1]Electricity and CHPs_IN'!D$51</f>
        <v>8.3224564018085589E-2</v>
      </c>
      <c r="I321" s="1">
        <f>IFERROR(I93/SUM(I93,I246),0)*'[1]Electricity and CHPs_IN'!E$51</f>
        <v>0</v>
      </c>
      <c r="J321" s="1">
        <f>IFERROR(J93/SUM(J93,J246),0)*'[2]Electricity and CHPs_IN'!F$51</f>
        <v>0.31651801439236776</v>
      </c>
      <c r="K321" s="1">
        <f>IFERROR(K93/SUM(K93,K246),0)*'[2]Electricity and CHPs_IN'!G$51</f>
        <v>0.14481556483727245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1.064701827874988</v>
      </c>
      <c r="G323" s="1">
        <f>IFERROR(G95/SUM(G95,G248),0)*'[1]Electricity and CHPs_IN'!C$54</f>
        <v>1.255116714097734</v>
      </c>
      <c r="H323" s="1">
        <f>IFERROR(H95/SUM(H95,H248),0)*'[1]Electricity and CHPs_IN'!D$54</f>
        <v>1.3000697956853919</v>
      </c>
      <c r="I323" s="1">
        <f>IFERROR(I95/SUM(I95,I248),0)*'[1]Electricity and CHPs_IN'!E$54</f>
        <v>1.3802275184598638</v>
      </c>
      <c r="J323" s="1">
        <f>IFERROR(J95/SUM(J95,J248),0)*'[2]Electricity and CHPs_IN'!F$54</f>
        <v>1.4563139309579824</v>
      </c>
      <c r="K323" s="1">
        <f>IFERROR(K95/SUM(K95,K248),0)*'[2]Electricity and CHPs_IN'!G$54</f>
        <v>1.5478991836064586</v>
      </c>
      <c r="L323" s="1">
        <f>IFERROR(L95/SUM(L95,L248),0)*'[2]Electricity and CHPs_IN'!H$54</f>
        <v>1.5037939179109525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0.771858956583239</v>
      </c>
      <c r="G324" s="1">
        <f>IFERROR(G96/SUM(G96,G249),0)*'[1]Electricity and CHPs_IN'!C$55</f>
        <v>0.79080345564786803</v>
      </c>
      <c r="H324" s="1">
        <f>IFERROR(H96/SUM(H96,H249),0)*'[1]Electricity and CHPs_IN'!D$55</f>
        <v>4.3779689415275297E-2</v>
      </c>
      <c r="I324" s="1">
        <f>IFERROR(I96/SUM(I96,I249),0)*'[1]Electricity and CHPs_IN'!E$55</f>
        <v>0</v>
      </c>
      <c r="J324" s="1">
        <f>IFERROR(J96/SUM(J96,J249),0)*'[2]Electricity and CHPs_IN'!F$55</f>
        <v>0.2118487714113679</v>
      </c>
      <c r="K324" s="1">
        <f>IFERROR(K96/SUM(K96,K249),0)*'[2]Electricity and CHPs_IN'!G$55</f>
        <v>0.26791112556183577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2.9357359532074669</v>
      </c>
      <c r="G326" s="1">
        <f t="shared" ref="G326:K326" si="297">G310-G342</f>
        <v>0.91671981881612052</v>
      </c>
      <c r="H326" s="1">
        <f t="shared" si="297"/>
        <v>0.8216623432978134</v>
      </c>
      <c r="I326" s="1">
        <f t="shared" si="297"/>
        <v>0.8082179282934332</v>
      </c>
      <c r="J326" s="1">
        <f t="shared" si="297"/>
        <v>0.61134080543372349</v>
      </c>
      <c r="K326" s="1">
        <f t="shared" si="297"/>
        <v>1.1323396709160762</v>
      </c>
      <c r="L326" s="1">
        <f t="shared" ref="L326" si="298">L310-L342</f>
        <v>4.951778028017273E-5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6.7547495271676834E-6</v>
      </c>
      <c r="L327" s="1">
        <f t="shared" ref="L327" si="300">IFERROR(L99/L83,0)*L311</f>
        <v>6.376322326433468E-7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0</v>
      </c>
      <c r="J328" s="1">
        <f t="shared" si="301"/>
        <v>0</v>
      </c>
      <c r="K328" s="1">
        <f t="shared" si="301"/>
        <v>5.305926883435843E-6</v>
      </c>
      <c r="L328" s="1">
        <f t="shared" ref="L328" si="302">IFERROR(L100/L84,0)*L312</f>
        <v>4.7716530706151714E-7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1.2520242639936099</v>
      </c>
      <c r="G330" s="1">
        <f t="shared" si="305"/>
        <v>4.2652375935381039E-3</v>
      </c>
      <c r="H330" s="1">
        <f t="shared" si="305"/>
        <v>5.3915595847113407E-3</v>
      </c>
      <c r="I330" s="1">
        <f t="shared" si="305"/>
        <v>0</v>
      </c>
      <c r="J330" s="1">
        <f t="shared" si="305"/>
        <v>0</v>
      </c>
      <c r="K330" s="1">
        <f t="shared" si="305"/>
        <v>0</v>
      </c>
      <c r="L330" s="1">
        <f t="shared" ref="L330" si="306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0</v>
      </c>
      <c r="L331" s="1">
        <f t="shared" ref="L331" si="308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0.87019557685134874</v>
      </c>
      <c r="G332" s="1">
        <f t="shared" si="309"/>
        <v>0.11622130898701774</v>
      </c>
      <c r="H332" s="1">
        <f t="shared" si="309"/>
        <v>0.68320809286799034</v>
      </c>
      <c r="I332" s="1">
        <f t="shared" si="309"/>
        <v>0.80821792829343309</v>
      </c>
      <c r="J332" s="1">
        <f t="shared" si="309"/>
        <v>9.8878584248254173E-2</v>
      </c>
      <c r="K332" s="1">
        <f t="shared" si="309"/>
        <v>0.71598839853173102</v>
      </c>
      <c r="L332" s="1">
        <f t="shared" ref="L332" si="310">IFERROR(L104/L88,0)*L316</f>
        <v>3.4825522978251396E-5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8.1570284944654792E-2</v>
      </c>
      <c r="L333" s="1">
        <f t="shared" ref="L333" si="312">IFERROR(L105/L89,0)*L317</f>
        <v>1.357745976223535E-5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2.2973733547816327E-2</v>
      </c>
      <c r="G335" s="1">
        <f t="shared" si="315"/>
        <v>5.9563119535215123E-3</v>
      </c>
      <c r="H335" s="1">
        <f t="shared" si="315"/>
        <v>1.2989850559546318E-2</v>
      </c>
      <c r="I335" s="1">
        <f t="shared" si="315"/>
        <v>0</v>
      </c>
      <c r="J335" s="1">
        <f t="shared" si="315"/>
        <v>0</v>
      </c>
      <c r="K335" s="1">
        <f t="shared" si="315"/>
        <v>0</v>
      </c>
      <c r="L335" s="1">
        <f t="shared" ref="L335" si="316">IFERROR(L107/L91,0)*L319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0</v>
      </c>
      <c r="J336" s="1">
        <f t="shared" si="317"/>
        <v>0</v>
      </c>
      <c r="K336" s="1">
        <f t="shared" si="317"/>
        <v>0</v>
      </c>
      <c r="L336" s="1">
        <f t="shared" ref="L336" si="318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3.86419179357975E-2</v>
      </c>
      <c r="G337" s="1">
        <f t="shared" si="319"/>
        <v>3.1481805049867403E-2</v>
      </c>
      <c r="H337" s="1">
        <f t="shared" si="319"/>
        <v>7.8682481200700385E-2</v>
      </c>
      <c r="I337" s="1">
        <f t="shared" si="319"/>
        <v>0</v>
      </c>
      <c r="J337" s="1">
        <f t="shared" si="319"/>
        <v>0.30699038822810959</v>
      </c>
      <c r="K337" s="1">
        <f t="shared" si="319"/>
        <v>0.11746211802370175</v>
      </c>
      <c r="L337" s="1">
        <f t="shared" ref="L337" si="320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0</v>
      </c>
      <c r="J338" s="1">
        <f t="shared" si="321"/>
        <v>0</v>
      </c>
      <c r="K338" s="1">
        <f t="shared" si="321"/>
        <v>0</v>
      </c>
      <c r="L338" s="1">
        <f t="shared" ref="L338" si="322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0.75190046087889462</v>
      </c>
      <c r="G340" s="1">
        <f t="shared" si="325"/>
        <v>0.75879515523217567</v>
      </c>
      <c r="H340" s="1">
        <f t="shared" si="325"/>
        <v>4.1390359084865033E-2</v>
      </c>
      <c r="I340" s="1">
        <f t="shared" si="325"/>
        <v>0</v>
      </c>
      <c r="J340" s="1">
        <f t="shared" si="325"/>
        <v>0.20547183295736002</v>
      </c>
      <c r="K340" s="1">
        <f t="shared" si="325"/>
        <v>0.21730680873957808</v>
      </c>
      <c r="L340" s="1">
        <f t="shared" ref="L340" si="326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0</v>
      </c>
      <c r="J341" s="1">
        <f t="shared" si="327"/>
        <v>0</v>
      </c>
      <c r="K341" s="1">
        <f t="shared" si="327"/>
        <v>0</v>
      </c>
      <c r="L341" s="1">
        <f t="shared" ref="L341" si="328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1.1426281977334287</v>
      </c>
      <c r="G342" s="1">
        <f t="shared" ref="G342:K342" si="329">SUM(G343:G357)</f>
        <v>1.2937867598345274</v>
      </c>
      <c r="H342" s="1">
        <f t="shared" si="329"/>
        <v>1.3475016808297593</v>
      </c>
      <c r="I342" s="1">
        <f t="shared" si="329"/>
        <v>1.4645376884732166</v>
      </c>
      <c r="J342" s="1">
        <f t="shared" si="329"/>
        <v>1.4752872502424972</v>
      </c>
      <c r="K342" s="1">
        <f t="shared" si="329"/>
        <v>1.8115875410482098</v>
      </c>
      <c r="L342" s="1">
        <f t="shared" ref="L342" si="330">SUM(L343:L357)</f>
        <v>1.8726408169070572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1.5729810175318868E-6</v>
      </c>
      <c r="L343" s="1">
        <f t="shared" ref="L343" si="332">L311-L327</f>
        <v>4.7495802594444058E-3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0</v>
      </c>
      <c r="J344" s="1">
        <f t="shared" si="333"/>
        <v>0</v>
      </c>
      <c r="K344" s="1">
        <f t="shared" si="333"/>
        <v>1.235593153304724E-6</v>
      </c>
      <c r="L344" s="1">
        <f t="shared" ref="L344" si="334">L312-L328</f>
        <v>3.5542979273757267E-3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0</v>
      </c>
      <c r="L345" s="1">
        <f t="shared" ref="L345" si="336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3.3233815105582432E-2</v>
      </c>
      <c r="G346" s="1">
        <f t="shared" si="337"/>
        <v>1.7992076688536432E-4</v>
      </c>
      <c r="H346" s="1">
        <f t="shared" si="337"/>
        <v>3.1123713658902721E-4</v>
      </c>
      <c r="I346" s="1">
        <f t="shared" si="337"/>
        <v>0</v>
      </c>
      <c r="J346" s="1">
        <f t="shared" si="337"/>
        <v>0</v>
      </c>
      <c r="K346" s="1">
        <f t="shared" si="337"/>
        <v>0</v>
      </c>
      <c r="L346" s="1">
        <f t="shared" ref="L346" si="338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0</v>
      </c>
      <c r="L347" s="1">
        <f t="shared" ref="L347" si="340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2.3098529108794619E-2</v>
      </c>
      <c r="G348" s="1">
        <f t="shared" si="341"/>
        <v>4.9025702748763805E-3</v>
      </c>
      <c r="H348" s="1">
        <f t="shared" si="341"/>
        <v>3.9439373186500259E-2</v>
      </c>
      <c r="I348" s="1">
        <f t="shared" si="341"/>
        <v>8.4310170013352836E-2</v>
      </c>
      <c r="J348" s="1">
        <f t="shared" si="341"/>
        <v>3.0687546662485771E-3</v>
      </c>
      <c r="K348" s="1">
        <f t="shared" si="341"/>
        <v>0.16673248284540143</v>
      </c>
      <c r="L348" s="1">
        <f t="shared" ref="L348" si="342">L316-L332</f>
        <v>0.2594075518684501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1.899530238635061E-2</v>
      </c>
      <c r="L349" s="1">
        <f t="shared" ref="L349" si="344">L317-L333</f>
        <v>0.10113546894083447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6.0981630705596659E-4</v>
      </c>
      <c r="G351" s="1">
        <f t="shared" si="347"/>
        <v>2.5125545552483197E-4</v>
      </c>
      <c r="H351" s="1">
        <f t="shared" si="347"/>
        <v>7.4986167348255542E-4</v>
      </c>
      <c r="I351" s="1">
        <f t="shared" si="347"/>
        <v>0</v>
      </c>
      <c r="J351" s="1">
        <f t="shared" si="347"/>
        <v>0</v>
      </c>
      <c r="K351" s="1">
        <f t="shared" si="347"/>
        <v>0</v>
      </c>
      <c r="L351" s="1">
        <f t="shared" ref="L351" si="348">L319-L335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0</v>
      </c>
      <c r="J352" s="1">
        <f t="shared" si="349"/>
        <v>0</v>
      </c>
      <c r="K352" s="1">
        <f t="shared" si="349"/>
        <v>0</v>
      </c>
      <c r="L352" s="1">
        <f t="shared" ref="L352" si="350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1.0257136326632318E-3</v>
      </c>
      <c r="G353" s="1">
        <f t="shared" si="351"/>
        <v>1.3279988238144302E-3</v>
      </c>
      <c r="H353" s="1">
        <f t="shared" si="351"/>
        <v>4.542082817385204E-3</v>
      </c>
      <c r="I353" s="1">
        <f t="shared" si="351"/>
        <v>0</v>
      </c>
      <c r="J353" s="1">
        <f t="shared" si="351"/>
        <v>9.5276261642581739E-3</v>
      </c>
      <c r="K353" s="1">
        <f t="shared" si="351"/>
        <v>2.73534468135707E-2</v>
      </c>
      <c r="L353" s="1">
        <f t="shared" ref="L353" si="352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0</v>
      </c>
      <c r="J354" s="1">
        <f t="shared" si="353"/>
        <v>0</v>
      </c>
      <c r="K354" s="1">
        <f t="shared" si="353"/>
        <v>0</v>
      </c>
      <c r="L354" s="1">
        <f t="shared" ref="L354" si="354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1.064701827874988</v>
      </c>
      <c r="G355" s="1">
        <f t="shared" si="355"/>
        <v>1.255116714097734</v>
      </c>
      <c r="H355" s="1">
        <f t="shared" si="355"/>
        <v>1.3000697956853919</v>
      </c>
      <c r="I355" s="1">
        <f t="shared" si="355"/>
        <v>1.3802275184598638</v>
      </c>
      <c r="J355" s="1">
        <f t="shared" si="355"/>
        <v>1.4563139309579824</v>
      </c>
      <c r="K355" s="1">
        <f t="shared" si="355"/>
        <v>1.5478991836064586</v>
      </c>
      <c r="L355" s="1">
        <f t="shared" ref="L355" si="356">L323-L339</f>
        <v>1.5037939179109525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1.9958495704344381E-2</v>
      </c>
      <c r="G356" s="1">
        <f t="shared" si="357"/>
        <v>3.2008300415692359E-2</v>
      </c>
      <c r="H356" s="1">
        <f t="shared" si="357"/>
        <v>2.3893303304102637E-3</v>
      </c>
      <c r="I356" s="1">
        <f t="shared" si="357"/>
        <v>0</v>
      </c>
      <c r="J356" s="1">
        <f t="shared" si="357"/>
        <v>6.3769384540078855E-3</v>
      </c>
      <c r="K356" s="1">
        <f t="shared" si="357"/>
        <v>5.0604316822257689E-2</v>
      </c>
      <c r="L356" s="1">
        <f t="shared" ref="L356" si="358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0</v>
      </c>
      <c r="J357" s="1">
        <f t="shared" si="359"/>
        <v>0</v>
      </c>
      <c r="K357" s="1">
        <f t="shared" si="359"/>
        <v>0</v>
      </c>
      <c r="L357" s="1">
        <f t="shared" ref="L357" si="360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22.495510455390569</v>
      </c>
      <c r="G358" s="1">
        <f t="shared" ref="G358:K358" si="362">SUM(G359:G364)</f>
        <v>24.548903980651421</v>
      </c>
      <c r="H358" s="1">
        <f t="shared" si="362"/>
        <v>26.276486970620951</v>
      </c>
      <c r="I358" s="1">
        <f t="shared" si="362"/>
        <v>24.684947197580815</v>
      </c>
      <c r="J358" s="1">
        <f t="shared" si="362"/>
        <v>25.191799480123816</v>
      </c>
      <c r="K358" s="1">
        <f t="shared" si="362"/>
        <v>26.842585916601134</v>
      </c>
      <c r="L358" s="1">
        <f t="shared" ref="L358" si="363">SUM(L359:L364)</f>
        <v>40.956435126352595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18.203592135659559</v>
      </c>
      <c r="G359" s="1">
        <f>'[1]Electricity and CHPs_IN'!C$19</f>
        <v>20.429785315625889</v>
      </c>
      <c r="H359" s="1">
        <f>'[1]Electricity and CHPs_IN'!D$19</f>
        <v>22.743189248436227</v>
      </c>
      <c r="I359" s="1">
        <f>'[1]Electricity and CHPs_IN'!E$19</f>
        <v>20.713853779001781</v>
      </c>
      <c r="J359" s="1">
        <f>'[2]Electricity and CHPs_IN'!F$19</f>
        <v>20.958776994704898</v>
      </c>
      <c r="K359" s="1">
        <f>'[2]Electricity and CHPs_IN'!G$19</f>
        <v>13.77660747674015</v>
      </c>
      <c r="L359" s="1">
        <f>'[2]Electricity and CHPs_IN'!H$19</f>
        <v>2.9227235962072861E-3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8.7491593008917192</v>
      </c>
      <c r="L360" s="1">
        <f>'[2]Electricity and CHPs_IN'!H$20</f>
        <v>24.813578875339331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3.897474241038585</v>
      </c>
      <c r="G361" s="1">
        <f>IFERROR(G133/SUM(G133,G198),0)*'[1]Electricity and CHPs_IN'!C$26</f>
        <v>3.7099268642324046</v>
      </c>
      <c r="H361" s="1">
        <f>IFERROR(H133/SUM(H133,H198),0)*'[1]Electricity and CHPs_IN'!D$26</f>
        <v>3.5309093115035637</v>
      </c>
      <c r="I361" s="1">
        <f>IFERROR(I133/SUM(I133,I198),0)*'[1]Electricity and CHPs_IN'!E$26</f>
        <v>3.9683689164323832</v>
      </c>
      <c r="J361" s="1">
        <f>IFERROR(J133/SUM(J133,J198),0)*'[2]Electricity and CHPs_IN'!F$26</f>
        <v>4.2316199106593047</v>
      </c>
      <c r="K361" s="1">
        <f>IFERROR(K133/SUM(K133,K198),0)*'[2]Electricity and CHPs_IN'!G$26</f>
        <v>3.3152250946455486</v>
      </c>
      <c r="L361" s="1">
        <f>IFERROR(L133/SUM(L133,L198),0)*'[2]Electricity and CHPs_IN'!H$26</f>
        <v>12.400711581027823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0.97795520570296901</v>
      </c>
      <c r="L362" s="1">
        <f>IFERROR(L134/SUM(L134,L199),0)*'[2]Electricity and CHPs_IN'!H$27</f>
        <v>2.5481703865834193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0.39444407869242698</v>
      </c>
      <c r="G363" s="1">
        <f>IFERROR(G135/SUM(G135,G274),0)*'[1]Electricity and CHPs_IN'!C$44</f>
        <v>0.40919180079312811</v>
      </c>
      <c r="H363" s="1">
        <f>IFERROR(H135/SUM(H135,H274),0)*'[1]Electricity and CHPs_IN'!D$44</f>
        <v>2.3884106811612642E-3</v>
      </c>
      <c r="I363" s="1">
        <f>IFERROR(I135/SUM(I135,I274),0)*'[1]Electricity and CHPs_IN'!E$44</f>
        <v>2.72450214665086E-3</v>
      </c>
      <c r="J363" s="1">
        <f>IFERROR(J135/SUM(J135,J274),0)*'[2]Electricity and CHPs_IN'!F$44</f>
        <v>1.402574759611189E-3</v>
      </c>
      <c r="K363" s="1">
        <f>IFERROR(K135/SUM(K135,K274),0)*'[2]Electricity and CHPs_IN'!G$44</f>
        <v>8.3577936471255013E-3</v>
      </c>
      <c r="L363" s="1">
        <f>IFERROR(L135/SUM(L135,L274),0)*'[2]Electricity and CHPs_IN'!H$44</f>
        <v>4.5976150910179462E-4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1.5281044973622735E-2</v>
      </c>
      <c r="L364" s="1">
        <f>IFERROR(L136/SUM(L136,L275),0)*'[2]Electricity and CHPs_IN'!H$45</f>
        <v>1.1905917982967129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11.050533188349073</v>
      </c>
      <c r="G365" s="1">
        <f t="shared" ref="G365:K365" si="364">SUM(G366:G369)</f>
        <v>12.069856089929146</v>
      </c>
      <c r="H365" s="1">
        <f t="shared" si="364"/>
        <v>13.137049279969895</v>
      </c>
      <c r="I365" s="1">
        <f t="shared" si="364"/>
        <v>12.341111347717082</v>
      </c>
      <c r="J365" s="1">
        <f t="shared" si="364"/>
        <v>12.595198452682101</v>
      </c>
      <c r="K365" s="1">
        <f t="shared" si="364"/>
        <v>13.409473538990193</v>
      </c>
      <c r="L365" s="1">
        <f t="shared" ref="L365" si="365">SUM(L366:L369)</f>
        <v>19.88269178327339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9.1017960678297793</v>
      </c>
      <c r="G366" s="1">
        <f t="shared" ref="G366:K366" si="366">G359*IFERROR(G138/G131,0)</f>
        <v>10.214892657812944</v>
      </c>
      <c r="H366" s="1">
        <f t="shared" si="366"/>
        <v>11.371594624218114</v>
      </c>
      <c r="I366" s="1">
        <f t="shared" si="366"/>
        <v>10.35692688950089</v>
      </c>
      <c r="J366" s="1">
        <f t="shared" si="366"/>
        <v>10.479388497352449</v>
      </c>
      <c r="K366" s="1">
        <f t="shared" si="366"/>
        <v>6.8883037383700749</v>
      </c>
      <c r="L366" s="1">
        <f t="shared" ref="L366" si="367">L359*IFERROR(L138/L131,0)</f>
        <v>1.4613617981036431E-3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4.3745796504458596</v>
      </c>
      <c r="L367" s="1">
        <f t="shared" ref="L367" si="369">L360*IFERROR(L139/L132,0)</f>
        <v>12.406789437669666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1.9487371205192929</v>
      </c>
      <c r="G368" s="1">
        <f t="shared" si="370"/>
        <v>1.8549634321162023</v>
      </c>
      <c r="H368" s="1">
        <f t="shared" si="370"/>
        <v>1.7654546557517818</v>
      </c>
      <c r="I368" s="1">
        <f t="shared" si="370"/>
        <v>1.9841844582161914</v>
      </c>
      <c r="J368" s="1">
        <f t="shared" si="370"/>
        <v>2.1158099553296519</v>
      </c>
      <c r="K368" s="1">
        <f t="shared" si="370"/>
        <v>1.6576125473227743</v>
      </c>
      <c r="L368" s="1">
        <f t="shared" ref="L368" si="371">L361*IFERROR(L140/L133,0)</f>
        <v>6.2003557905139113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0.48897760285148451</v>
      </c>
      <c r="L369" s="1">
        <f t="shared" ref="L369" si="373">L362*IFERROR(L141/L134,0)</f>
        <v>1.2740851932917097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11.444977267041498</v>
      </c>
      <c r="G372" s="1">
        <f t="shared" ref="G372:K372" si="378">SUM(G373:G378)</f>
        <v>12.479047890722274</v>
      </c>
      <c r="H372" s="1">
        <f t="shared" si="378"/>
        <v>13.139437690651057</v>
      </c>
      <c r="I372" s="1">
        <f t="shared" si="378"/>
        <v>12.343835849863732</v>
      </c>
      <c r="J372" s="1">
        <f t="shared" si="378"/>
        <v>12.596601027441713</v>
      </c>
      <c r="K372" s="1">
        <f t="shared" si="378"/>
        <v>13.433112377610941</v>
      </c>
      <c r="L372" s="1">
        <f t="shared" ref="L372" si="379">SUM(L373:L378)</f>
        <v>21.073743343079204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9.1017960678297793</v>
      </c>
      <c r="G373" s="1">
        <f t="shared" si="380"/>
        <v>10.214892657812944</v>
      </c>
      <c r="H373" s="1">
        <f t="shared" si="380"/>
        <v>11.371594624218114</v>
      </c>
      <c r="I373" s="1">
        <f t="shared" si="380"/>
        <v>10.35692688950089</v>
      </c>
      <c r="J373" s="1">
        <f t="shared" si="380"/>
        <v>10.479388497352449</v>
      </c>
      <c r="K373" s="1">
        <f t="shared" si="380"/>
        <v>6.8883037383700749</v>
      </c>
      <c r="L373" s="1">
        <f t="shared" ref="L373" si="381">L366*IFERROR(L145/L138,0)</f>
        <v>1.4613617981036431E-3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4.3745796504458596</v>
      </c>
      <c r="L374" s="1">
        <f t="shared" ref="L374" si="383">L367*IFERROR(L146/L139,0)</f>
        <v>12.406789437669666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1.9487371205192923</v>
      </c>
      <c r="G375" s="1">
        <f t="shared" si="384"/>
        <v>1.8549634321162023</v>
      </c>
      <c r="H375" s="1">
        <f t="shared" si="384"/>
        <v>1.7654546557517818</v>
      </c>
      <c r="I375" s="1">
        <f t="shared" si="384"/>
        <v>1.9841844582161918</v>
      </c>
      <c r="J375" s="1">
        <f t="shared" si="384"/>
        <v>2.1158099553296523</v>
      </c>
      <c r="K375" s="1">
        <f t="shared" si="384"/>
        <v>1.6576125473227743</v>
      </c>
      <c r="L375" s="1">
        <f t="shared" ref="L375" si="385">L368*IFERROR(L147/L140,0)</f>
        <v>6.2003557905139113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0.48897760285148451</v>
      </c>
      <c r="L376" s="1">
        <f t="shared" ref="L376" si="387">L369*IFERROR(L148/L141,0)</f>
        <v>1.2740851932917097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0.39444407869242698</v>
      </c>
      <c r="G377" s="1">
        <f t="shared" ref="G377:K377" si="388">G363</f>
        <v>0.40919180079312811</v>
      </c>
      <c r="H377" s="1">
        <f t="shared" si="388"/>
        <v>2.3884106811612642E-3</v>
      </c>
      <c r="I377" s="1">
        <f t="shared" si="388"/>
        <v>2.72450214665086E-3</v>
      </c>
      <c r="J377" s="1">
        <f t="shared" si="388"/>
        <v>1.402574759611189E-3</v>
      </c>
      <c r="K377" s="1">
        <f t="shared" si="388"/>
        <v>8.3577936471255013E-3</v>
      </c>
      <c r="L377" s="1">
        <f t="shared" ref="L377" si="389">L363</f>
        <v>4.5976150910179462E-4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1.5281044973622735E-2</v>
      </c>
      <c r="L378" s="1">
        <f t="shared" ref="L378" si="391">L364</f>
        <v>1.1905917982967129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0.56167658833277989</v>
      </c>
      <c r="G379" s="1">
        <f t="shared" ref="G379:K379" si="392">SUM(G380:G386)</f>
        <v>0.53624445847401314</v>
      </c>
      <c r="H379" s="1">
        <f t="shared" si="392"/>
        <v>1.0887516895489582</v>
      </c>
      <c r="I379" s="1">
        <f t="shared" si="392"/>
        <v>2.6661810050280748</v>
      </c>
      <c r="J379" s="1">
        <f t="shared" si="392"/>
        <v>3.5798528005461847</v>
      </c>
      <c r="K379" s="1">
        <f t="shared" si="392"/>
        <v>4.1717794647744348</v>
      </c>
      <c r="L379" s="1">
        <f t="shared" ref="L379" si="393">SUM(L380:L386)</f>
        <v>13.680211125644337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0.38050604993638676</v>
      </c>
      <c r="G380" s="1">
        <f>IFERROR(G152/SUM(G152,G207),0)*'[1]Electricity and CHPs_IN'!C$25</f>
        <v>2.0906933711953228E-2</v>
      </c>
      <c r="H380" s="1">
        <f>IFERROR(H152/SUM(H152,H207),0)*'[1]Electricity and CHPs_IN'!D$25</f>
        <v>5.2023234687709695E-6</v>
      </c>
      <c r="I380" s="1">
        <f>IFERROR(I152/SUM(I152,I207),0)*'[1]Electricity and CHPs_IN'!E$25</f>
        <v>0.93040758118410949</v>
      </c>
      <c r="J380" s="1">
        <f>IFERROR(J152/SUM(J152,J207),0)*'[2]Electricity and CHPs_IN'!F$25</f>
        <v>0.89674810815202088</v>
      </c>
      <c r="K380" s="1">
        <f>IFERROR(K152/SUM(K152,K207),0)*'[2]Electricity and CHPs_IN'!G$25</f>
        <v>1.1325151722555162</v>
      </c>
      <c r="L380" s="1">
        <f>IFERROR(L152/SUM(L152,L207),0)*'[2]Electricity and CHPs_IN'!H$25</f>
        <v>2.6042035481907325E-5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1.8415708492160198E-3</v>
      </c>
      <c r="L381" s="1">
        <f>'[2]Electricity and CHPs_IN'!H$31</f>
        <v>10.993274925404885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0.18117053839639308</v>
      </c>
      <c r="G382" s="1">
        <f>IFERROR(G154/SUM(G154,G283),0)*'[1]Electricity and CHPs_IN'!C$42</f>
        <v>0.51533752476205996</v>
      </c>
      <c r="H382" s="1">
        <f>IFERROR(H154/SUM(H154,H283),0)*'[1]Electricity and CHPs_IN'!D$42</f>
        <v>1.0887464872254895</v>
      </c>
      <c r="I382" s="1">
        <f>IFERROR(I154/SUM(I154,I283),0)*'[1]Electricity and CHPs_IN'!E$42</f>
        <v>1.7357734238439655</v>
      </c>
      <c r="J382" s="1">
        <f>IFERROR(J154/SUM(J154,J283),0)*'[2]Electricity and CHPs_IN'!F$42</f>
        <v>2.5652378376319125</v>
      </c>
      <c r="K382" s="1">
        <f>IFERROR(K154/SUM(K154,K283),0)*'[2]Electricity and CHPs_IN'!G$42</f>
        <v>2.2321137046637611</v>
      </c>
      <c r="L382" s="1">
        <f>IFERROR(L154/SUM(L154,L283),0)*'[2]Electricity and CHPs_IN'!H$42</f>
        <v>0.78250915442513891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0.69018229767622019</v>
      </c>
      <c r="L383" s="1">
        <f>IFERROR(L155/SUM(L155,L284),0)*'[2]Electricity and CHPs_IN'!H$43</f>
        <v>1.8995408716365791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2.4097192193388512E-3</v>
      </c>
      <c r="K384" s="1">
        <f>IFERROR(K156/SUM(K285,K156),0)*'[2]Electricity and CHPs_IN'!G$50</f>
        <v>2.5229189330405063E-3</v>
      </c>
      <c r="L384" s="1">
        <f>IFERROR(L156/SUM(L285,L156),0)*'[2]Electricity and CHPs_IN'!H$50</f>
        <v>1.0844602303366185E-3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0.1146820835132102</v>
      </c>
      <c r="K385" s="1">
        <f>IFERROR(K157/SUM(K286,K157),0)*'[2]Electricity and CHPs_IN'!G$53</f>
        <v>0.11162032568496884</v>
      </c>
      <c r="L385" s="1">
        <f>IFERROR(L157/SUM(L286,L157),0)*'[2]Electricity and CHPs_IN'!H$53</f>
        <v>3.2284578552436469E-3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7.7505202970233936E-4</v>
      </c>
      <c r="K386" s="1">
        <f>IFERROR(K158/SUM(K287,K158),0)*'[2]Electricity and CHPs_IN'!G$56</f>
        <v>9.8347471171160482E-4</v>
      </c>
      <c r="L386" s="1">
        <f>IFERROR(L158/SUM(L287,L158),0)*'[2]Electricity and CHPs_IN'!H$56</f>
        <v>5.4721405667243136E-4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0.54529229929872658</v>
      </c>
      <c r="H387" s="1">
        <f t="shared" si="394"/>
        <v>0.50316489763227623</v>
      </c>
      <c r="I387" s="1">
        <f t="shared" si="394"/>
        <v>2.050259966074901</v>
      </c>
      <c r="J387" s="1">
        <f t="shared" si="394"/>
        <v>0.88003344024312191</v>
      </c>
      <c r="K387" s="1">
        <f t="shared" si="394"/>
        <v>0.88004543002501978</v>
      </c>
      <c r="L387" s="1">
        <f t="shared" si="394"/>
        <v>0.8800469901406538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0.54529229929872658</v>
      </c>
      <c r="H388" s="1">
        <f>'[1]Electricity and CHPs_IN'!D$33</f>
        <v>0.50316489763227623</v>
      </c>
      <c r="I388" s="1">
        <f>'[1]Electricity and CHPs_IN'!E$33</f>
        <v>2.050259966074901</v>
      </c>
      <c r="J388" s="1">
        <f>'[2]Electricity and CHPs_IN'!F$33</f>
        <v>0.88003344024312191</v>
      </c>
      <c r="K388" s="1">
        <f>'[2]Electricity and CHPs_IN'!G$33</f>
        <v>0.88004543002501978</v>
      </c>
      <c r="L388" s="1">
        <f>'[2]Electricity and CHPs_IN'!H$33</f>
        <v>0.8800469901406538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12.821422891735427</v>
      </c>
      <c r="H389" s="1">
        <f t="shared" si="395"/>
        <v>28.800004193581717</v>
      </c>
      <c r="I389" s="1">
        <f t="shared" si="395"/>
        <v>50.701498810562612</v>
      </c>
      <c r="J389" s="1">
        <f t="shared" si="395"/>
        <v>54.127715740820008</v>
      </c>
      <c r="K389" s="1">
        <f t="shared" si="395"/>
        <v>58.066136293263469</v>
      </c>
      <c r="L389" s="1">
        <f t="shared" ref="L389" si="396">SUM(L390:L394)</f>
        <v>63.549506544901902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0.14080295862804201</v>
      </c>
      <c r="I390" s="1">
        <f>'[1]Electricity and CHPs_IN'!E34</f>
        <v>0.49715254450628882</v>
      </c>
      <c r="J390" s="1">
        <f>'[2]Electricity and CHPs_IN'!F34</f>
        <v>1.3197382786811827</v>
      </c>
      <c r="K390" s="1">
        <f>'[2]Electricity and CHPs_IN'!G34</f>
        <v>2.5162423158189418</v>
      </c>
      <c r="L390" s="1">
        <f>'[2]Electricity and CHPs_IN'!H34</f>
        <v>2.0798433999240529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4.8486224103667395</v>
      </c>
      <c r="H391" s="1">
        <f>'[1]Electricity and CHPs_IN'!D35</f>
        <v>11.161490481896006</v>
      </c>
      <c r="I391" s="1">
        <f>'[1]Electricity and CHPs_IN'!E35</f>
        <v>19.477119999127183</v>
      </c>
      <c r="J391" s="1">
        <f>'[2]Electricity and CHPs_IN'!F35</f>
        <v>20.470652173476445</v>
      </c>
      <c r="K391" s="1">
        <f>'[2]Electricity and CHPs_IN'!G35</f>
        <v>21.514862902360804</v>
      </c>
      <c r="L391" s="1">
        <f>'[2]Electricity and CHPs_IN'!H35</f>
        <v>23.765793951229259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3.3907110992531413</v>
      </c>
      <c r="H392" s="1">
        <f>'[1]Electricity and CHPs_IN'!D36</f>
        <v>6.0136545123093201</v>
      </c>
      <c r="I392" s="1">
        <f>'[1]Electricity and CHPs_IN'!E36</f>
        <v>11.185987675100019</v>
      </c>
      <c r="J392" s="1">
        <f>'[2]Electricity and CHPs_IN'!F36</f>
        <v>11.801960495882243</v>
      </c>
      <c r="K392" s="1">
        <f>'[2]Electricity and CHPs_IN'!G36</f>
        <v>12.452153337978361</v>
      </c>
      <c r="L392" s="1">
        <f>'[2]Electricity and CHPs_IN'!H36</f>
        <v>13.862943956130019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1.28763416380326</v>
      </c>
      <c r="H393" s="1">
        <f>'[1]Electricity and CHPs_IN'!D37</f>
        <v>1.5174839608673494</v>
      </c>
      <c r="I393" s="1">
        <f>'[1]Electricity and CHPs_IN'!E37</f>
        <v>1.6388963235412701</v>
      </c>
      <c r="J393" s="1">
        <f>'[2]Electricity and CHPs_IN'!F37</f>
        <v>1.7198217935533948</v>
      </c>
      <c r="K393" s="1">
        <f>'[2]Electricity and CHPs_IN'!G37</f>
        <v>1.8075521949140552</v>
      </c>
      <c r="L393" s="1">
        <f>'[2]Electricity and CHPs_IN'!H37</f>
        <v>1.9966627922758395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3.2944552183122862</v>
      </c>
      <c r="H394" s="1">
        <f>'[1]Electricity and CHPs_IN'!D38</f>
        <v>9.9665722798809995</v>
      </c>
      <c r="I394" s="1">
        <f>'[1]Electricity and CHPs_IN'!E38</f>
        <v>17.902342268287857</v>
      </c>
      <c r="J394" s="1">
        <f>'[2]Electricity and CHPs_IN'!F38</f>
        <v>18.815542999226739</v>
      </c>
      <c r="K394" s="1">
        <f>'[2]Electricity and CHPs_IN'!G38</f>
        <v>19.775325542191307</v>
      </c>
      <c r="L394" s="1">
        <f>'[2]Electricity and CHPs_IN'!H38</f>
        <v>21.844262445342725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4.321615704165711E-3</v>
      </c>
      <c r="L396" s="1">
        <f>'[2]Electricity and CHPs_IN'!H$32</f>
        <v>2.0693638512460463E-2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4.3658595322408157E-2</v>
      </c>
      <c r="J397" s="1">
        <f t="shared" ref="J397" si="401">SUM(J398:J400)</f>
        <v>5.1570176894947736E-3</v>
      </c>
      <c r="K397" s="1">
        <f t="shared" ref="K397:L397" si="402">SUM(K398:K400)</f>
        <v>0.29674111819606636</v>
      </c>
      <c r="L397" s="1">
        <f t="shared" si="402"/>
        <v>0.30438981419212469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4.9773430801430436E-2</v>
      </c>
      <c r="L398" s="1">
        <f>IFERROR(L170/SUM(L170,L209),0)*'[2]Electricity and CHPs_IN'!H$30</f>
        <v>4.8731196093559574E-2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4.3658595322408157E-2</v>
      </c>
      <c r="J399" s="1">
        <f>IFERROR(J171/SUM(J171,J289),0)*'[2]Electricity and CHPs_IN'!F$46</f>
        <v>4.0437123803856098E-3</v>
      </c>
      <c r="K399" s="1">
        <f>IFERROR(K171/SUM(K171,K289),0)*'[2]Electricity and CHPs_IN'!G$46</f>
        <v>0.21701421999794446</v>
      </c>
      <c r="L399" s="1">
        <f>IFERROR(L171/SUM(L171,L289),0)*'[2]Electricity and CHPs_IN'!H$46</f>
        <v>0.23728355167142562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1.1133053091091634E-3</v>
      </c>
      <c r="K400" s="1">
        <f>IFERROR(K172/SUM(K172,K290),0)*'[2]Electricity and CHPs_IN'!G$57</f>
        <v>2.9953467396691465E-2</v>
      </c>
      <c r="L400" s="1">
        <f>IFERROR(L172/SUM(L172,L290),0)*'[2]Electricity and CHPs_IN'!H$57</f>
        <v>1.8375066427139489E-2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0.15751590352106659</v>
      </c>
      <c r="G401" s="1">
        <f t="shared" ref="G401:K401" si="403">SUM(G402:G408)</f>
        <v>3.1566447775849243E-2</v>
      </c>
      <c r="H401" s="1">
        <f t="shared" si="403"/>
        <v>0.45379139233877969</v>
      </c>
      <c r="I401" s="1">
        <f t="shared" si="403"/>
        <v>1.2438805942332385</v>
      </c>
      <c r="J401" s="1">
        <f t="shared" si="403"/>
        <v>1.3746412933676717</v>
      </c>
      <c r="K401" s="1">
        <f t="shared" si="403"/>
        <v>0.57948510094871875</v>
      </c>
      <c r="L401" s="1">
        <f t="shared" ref="L401" si="404">SUM(L402:L408)</f>
        <v>2.9294887944296035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0.13515494227332436</v>
      </c>
      <c r="G402" s="1">
        <f>'[1]Electricity and CHPs_IN'!C63</f>
        <v>1.17202161078738E-2</v>
      </c>
      <c r="H402" s="1">
        <f>'[1]Electricity and CHPs_IN'!D63</f>
        <v>1.2315290778212263E-2</v>
      </c>
      <c r="I402" s="1">
        <f>'[1]Electricity and CHPs_IN'!E63</f>
        <v>8.1697957712063743E-2</v>
      </c>
      <c r="J402" s="1">
        <f>'[2]Electricity and CHPs_IN'!F63</f>
        <v>9.7586653177973489E-3</v>
      </c>
      <c r="K402" s="1">
        <f>'[2]Electricity and CHPs_IN'!G63</f>
        <v>2.1454938022974612E-3</v>
      </c>
      <c r="L402" s="1">
        <f>'[2]Electricity and CHPs_IN'!H63</f>
        <v>0.10894815698677168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6.0310360681182732E-3</v>
      </c>
      <c r="G403" s="1">
        <f>'[1]Electricity and CHPs_IN'!C64</f>
        <v>4.7984440365173913E-3</v>
      </c>
      <c r="H403" s="1">
        <f>'[1]Electricity and CHPs_IN'!D64</f>
        <v>1.6245153355764139E-2</v>
      </c>
      <c r="I403" s="1">
        <f>'[1]Electricity and CHPs_IN'!E64</f>
        <v>9.0279813957836144E-2</v>
      </c>
      <c r="J403" s="1">
        <f>'[2]Electricity and CHPs_IN'!F64</f>
        <v>2.7716083908769142E-2</v>
      </c>
      <c r="K403" s="1">
        <f>'[2]Electricity and CHPs_IN'!G64</f>
        <v>2.7733003857383778E-2</v>
      </c>
      <c r="L403" s="1">
        <f>'[2]Electricity and CHPs_IN'!H64</f>
        <v>6.7066813626352445E-2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5.7323394295997173E-3</v>
      </c>
      <c r="G404" s="1">
        <f>'[1]Electricity and CHPs_IN'!C65</f>
        <v>4.4740075196785523E-3</v>
      </c>
      <c r="H404" s="1">
        <f>'[1]Electricity and CHPs_IN'!D65</f>
        <v>1.5631552943467776E-2</v>
      </c>
      <c r="I404" s="1">
        <f>'[1]Electricity and CHPs_IN'!E65</f>
        <v>6.4685427160440914E-2</v>
      </c>
      <c r="J404" s="1">
        <f>'[2]Electricity and CHPs_IN'!F65</f>
        <v>4.2167082169166925E-2</v>
      </c>
      <c r="K404" s="1">
        <f>'[2]Electricity and CHPs_IN'!G65</f>
        <v>4.0818753053218859E-2</v>
      </c>
      <c r="L404" s="1">
        <f>'[2]Electricity and CHPs_IN'!H65</f>
        <v>0.15220820281891334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1.7631134071559951E-3</v>
      </c>
      <c r="G405" s="1">
        <f>'[1]Electricity and CHPs_IN'!C66</f>
        <v>1.7592560780321244E-3</v>
      </c>
      <c r="H405" s="1">
        <f>'[1]Electricity and CHPs_IN'!D66</f>
        <v>8.6635137138505874E-2</v>
      </c>
      <c r="I405" s="1">
        <f>'[1]Electricity and CHPs_IN'!E66</f>
        <v>0.1991485070893306</v>
      </c>
      <c r="J405" s="1">
        <f>'[2]Electricity and CHPs_IN'!F66</f>
        <v>0.21803085821541959</v>
      </c>
      <c r="K405" s="1">
        <f>'[2]Electricity and CHPs_IN'!G66</f>
        <v>0.10621754452417241</v>
      </c>
      <c r="L405" s="1">
        <f>'[2]Electricity and CHPs_IN'!H66</f>
        <v>0.43671779040537562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3.5529253781443871E-3</v>
      </c>
      <c r="G406" s="1">
        <f>'[1]Electricity and CHPs_IN'!C67</f>
        <v>3.5450262668885292E-3</v>
      </c>
      <c r="H406" s="1">
        <f>'[1]Electricity and CHPs_IN'!D67</f>
        <v>0.18278088888476535</v>
      </c>
      <c r="I406" s="1">
        <f>'[1]Electricity and CHPs_IN'!E67</f>
        <v>0.41163706885430196</v>
      </c>
      <c r="J406" s="1">
        <f>'[2]Electricity and CHPs_IN'!F67</f>
        <v>0.56101411188109807</v>
      </c>
      <c r="K406" s="1">
        <f>'[2]Electricity and CHPs_IN'!G67</f>
        <v>0.18706657502379759</v>
      </c>
      <c r="L406" s="1">
        <f>'[2]Electricity and CHPs_IN'!H67</f>
        <v>1.2970240739159755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3.4670132747589696E-3</v>
      </c>
      <c r="G407" s="1">
        <f>'[1]Electricity and CHPs_IN'!C68</f>
        <v>3.4588253373588141E-3</v>
      </c>
      <c r="H407" s="1">
        <f>'[1]Electricity and CHPs_IN'!D68</f>
        <v>2.7318588324524641E-2</v>
      </c>
      <c r="I407" s="1">
        <f>'[1]Electricity and CHPs_IN'!E68</f>
        <v>4.1924001278596079E-2</v>
      </c>
      <c r="J407" s="1">
        <f>'[2]Electricity and CHPs_IN'!F68</f>
        <v>4.2039154452289798E-2</v>
      </c>
      <c r="K407" s="1">
        <f>'[2]Electricity and CHPs_IN'!G68</f>
        <v>2.0745556079356235E-2</v>
      </c>
      <c r="L407" s="1">
        <f>'[2]Electricity and CHPs_IN'!H68</f>
        <v>6.4736085330588139E-2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1.8145336899649111E-3</v>
      </c>
      <c r="G408" s="1">
        <f>'[1]Electricity and CHPs_IN'!C69</f>
        <v>1.8106724295000329E-3</v>
      </c>
      <c r="H408" s="1">
        <f>'[1]Electricity and CHPs_IN'!D69</f>
        <v>0.11286478091353963</v>
      </c>
      <c r="I408" s="1">
        <f>'[1]Electricity and CHPs_IN'!E69</f>
        <v>0.35450781818066895</v>
      </c>
      <c r="J408" s="1">
        <f>'[2]Electricity and CHPs_IN'!F69</f>
        <v>0.47391533742313091</v>
      </c>
      <c r="K408" s="1">
        <f>'[2]Electricity and CHPs_IN'!G69</f>
        <v>0.1947581746084924</v>
      </c>
      <c r="L408" s="1">
        <f>'[2]Electricity and CHPs_IN'!H69</f>
        <v>0.80278767134562656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55.836469091954044</v>
      </c>
      <c r="G409" s="3">
        <f t="shared" ref="G409:K409" si="406">G410+G463</f>
        <v>53.213129580328328</v>
      </c>
      <c r="H409" s="3">
        <f t="shared" si="406"/>
        <v>48.258681166483214</v>
      </c>
      <c r="I409" s="3">
        <f t="shared" si="406"/>
        <v>52.946200746352808</v>
      </c>
      <c r="J409" s="3">
        <f t="shared" si="406"/>
        <v>56.639711914769116</v>
      </c>
      <c r="K409" s="3">
        <f t="shared" si="406"/>
        <v>57.874088745471141</v>
      </c>
      <c r="L409" s="3">
        <f t="shared" ref="L409" si="407">L410+L463</f>
        <v>42.880147341636601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47.892256055772165</v>
      </c>
      <c r="G410" s="1">
        <f t="shared" si="408"/>
        <v>44.510640674092045</v>
      </c>
      <c r="H410" s="1">
        <f t="shared" si="408"/>
        <v>41.689327990707845</v>
      </c>
      <c r="I410" s="1">
        <f t="shared" si="408"/>
        <v>46.032894745716959</v>
      </c>
      <c r="J410" s="1">
        <f t="shared" si="408"/>
        <v>47.601238597766631</v>
      </c>
      <c r="K410" s="1">
        <f t="shared" si="408"/>
        <v>47.8378894219586</v>
      </c>
      <c r="L410" s="1">
        <f t="shared" ref="L410" si="409">L411+L440</f>
        <v>30.06820681670305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40.082325858677521</v>
      </c>
      <c r="G411" s="1">
        <f t="shared" ref="G411:K411" si="410">SUM(G412,G418,G427,G436,G438)</f>
        <v>34.339854865586041</v>
      </c>
      <c r="H411" s="1">
        <f t="shared" si="410"/>
        <v>32.202853691358847</v>
      </c>
      <c r="I411" s="1">
        <f t="shared" si="410"/>
        <v>37.943271610050921</v>
      </c>
      <c r="J411" s="1">
        <f t="shared" si="410"/>
        <v>38.7520828823302</v>
      </c>
      <c r="K411" s="1">
        <f t="shared" si="410"/>
        <v>39.541133105606363</v>
      </c>
      <c r="L411" s="1">
        <f t="shared" ref="L411" si="411">SUM(L412,L418,L427,L436,L438)</f>
        <v>22.727738513538572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2.0121918535857576E-2</v>
      </c>
      <c r="G412" s="1">
        <f t="shared" ref="G412:L412" si="412">G413</f>
        <v>1.7174668271161746E-3</v>
      </c>
      <c r="H412" s="1">
        <f t="shared" si="412"/>
        <v>6.2602704745324741E-3</v>
      </c>
      <c r="I412" s="1">
        <f t="shared" si="412"/>
        <v>7.8380019649357605E-3</v>
      </c>
      <c r="J412" s="1">
        <f t="shared" si="412"/>
        <v>1.1488170119379087E-3</v>
      </c>
      <c r="K412" s="1">
        <f t="shared" si="412"/>
        <v>1.221544671889838</v>
      </c>
      <c r="L412" s="1">
        <f t="shared" si="412"/>
        <v>5.0636863324364608E-5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2.0121918535857576E-2</v>
      </c>
      <c r="G413" s="1">
        <f>'[1]Electricity and CHPs_IN'!C$28-G300</f>
        <v>1.7174668271161746E-3</v>
      </c>
      <c r="H413" s="1">
        <f>'[1]Electricity and CHPs_IN'!D$28-H300</f>
        <v>6.2602704745324741E-3</v>
      </c>
      <c r="I413" s="1">
        <f>'[1]Electricity and CHPs_IN'!E$28-I300</f>
        <v>7.8380019649357605E-3</v>
      </c>
      <c r="J413" s="1">
        <f>'[2]Electricity and CHPs_IN'!F$28-J300</f>
        <v>1.1488170119379087E-3</v>
      </c>
      <c r="K413" s="1">
        <f>'[2]Electricity and CHPs_IN'!G$28-K300</f>
        <v>1.221544671889838</v>
      </c>
      <c r="L413" s="1">
        <f>'[2]Electricity and CHPs_IN'!H$28-L300</f>
        <v>5.0636863324364608E-5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2.0121918535857576E-2</v>
      </c>
      <c r="G414" s="1">
        <f t="shared" ref="G414:L414" si="413">G415</f>
        <v>1.7174668271161746E-3</v>
      </c>
      <c r="H414" s="1">
        <f t="shared" si="413"/>
        <v>6.2602704745324741E-3</v>
      </c>
      <c r="I414" s="1">
        <f t="shared" si="413"/>
        <v>7.8380019649357605E-3</v>
      </c>
      <c r="J414" s="1">
        <f t="shared" si="413"/>
        <v>1.1488170119379087E-3</v>
      </c>
      <c r="K414" s="1">
        <f t="shared" si="413"/>
        <v>1.221544671889838</v>
      </c>
      <c r="L414" s="1">
        <f t="shared" si="413"/>
        <v>5.0636863324364608E-5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2.0121918535857576E-2</v>
      </c>
      <c r="G415" s="1">
        <f t="shared" ref="G415:K415" si="414">G413-G417</f>
        <v>1.7174668271161746E-3</v>
      </c>
      <c r="H415" s="1">
        <f t="shared" si="414"/>
        <v>6.2602704745324741E-3</v>
      </c>
      <c r="I415" s="1">
        <f t="shared" si="414"/>
        <v>7.8380019649357605E-3</v>
      </c>
      <c r="J415" s="1">
        <f t="shared" si="414"/>
        <v>1.1488170119379087E-3</v>
      </c>
      <c r="K415" s="1">
        <f t="shared" si="414"/>
        <v>1.221544671889838</v>
      </c>
      <c r="L415" s="1">
        <f t="shared" ref="L415" si="415">L413-L417</f>
        <v>5.0636863324364608E-5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2.3999119740730066</v>
      </c>
      <c r="G418" s="1">
        <f t="shared" ref="G418:K418" si="419">SUM(G419:G420)</f>
        <v>8.5416161190800134E-3</v>
      </c>
      <c r="H418" s="1">
        <f t="shared" si="419"/>
        <v>1.1422680603377902E-2</v>
      </c>
      <c r="I418" s="1">
        <f t="shared" si="419"/>
        <v>0</v>
      </c>
      <c r="J418" s="1">
        <f t="shared" si="419"/>
        <v>0</v>
      </c>
      <c r="K418" s="1">
        <f t="shared" si="419"/>
        <v>0</v>
      </c>
      <c r="L418" s="1">
        <f t="shared" ref="L418" si="420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2.3999119740730066</v>
      </c>
      <c r="G419" s="1">
        <f>'[1]Electricity and CHPs_IN'!C$24-G314</f>
        <v>8.5416161190800134E-3</v>
      </c>
      <c r="H419" s="1">
        <f>'[1]Electricity and CHPs_IN'!D$24-H314</f>
        <v>1.1422680603377902E-2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2.3378557753118083</v>
      </c>
      <c r="G421" s="1">
        <f t="shared" ref="G421:K421" si="421">SUM(G422:G423)</f>
        <v>8.1958884761082883E-3</v>
      </c>
      <c r="H421" s="1">
        <f t="shared" si="421"/>
        <v>1.079927377740994E-2</v>
      </c>
      <c r="I421" s="1">
        <f t="shared" si="421"/>
        <v>0</v>
      </c>
      <c r="J421" s="1">
        <f t="shared" si="421"/>
        <v>0</v>
      </c>
      <c r="K421" s="1">
        <f t="shared" si="421"/>
        <v>0</v>
      </c>
      <c r="L421" s="1">
        <f t="shared" ref="L421" si="422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2.3378557753118083</v>
      </c>
      <c r="G422" s="1">
        <f t="shared" ref="G422:K422" si="423">G419-G425</f>
        <v>8.1958884761082883E-3</v>
      </c>
      <c r="H422" s="1">
        <f t="shared" si="423"/>
        <v>1.079927377740994E-2</v>
      </c>
      <c r="I422" s="1">
        <f t="shared" si="423"/>
        <v>0</v>
      </c>
      <c r="J422" s="1">
        <f t="shared" si="423"/>
        <v>0</v>
      </c>
      <c r="K422" s="1">
        <f t="shared" si="423"/>
        <v>0</v>
      </c>
      <c r="L422" s="1">
        <f t="shared" ref="L422" si="424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0</v>
      </c>
      <c r="L423" s="1">
        <f t="shared" ref="L423" si="426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6.2056198761198486E-2</v>
      </c>
      <c r="G424" s="1">
        <f t="shared" ref="G424:K424" si="427">SUM(G425:G426)</f>
        <v>3.4572764297172544E-4</v>
      </c>
      <c r="H424" s="1">
        <f t="shared" si="427"/>
        <v>6.2340682596796152E-4</v>
      </c>
      <c r="I424" s="1">
        <f t="shared" si="427"/>
        <v>0</v>
      </c>
      <c r="J424" s="1">
        <f t="shared" si="427"/>
        <v>0</v>
      </c>
      <c r="K424" s="1">
        <f t="shared" si="427"/>
        <v>0</v>
      </c>
      <c r="L424" s="1">
        <f t="shared" ref="L424" si="428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6.2056198761198486E-2</v>
      </c>
      <c r="G425" s="1">
        <f t="shared" ref="G425:K425" si="429">IFERROR(G346/G314,0)*G419</f>
        <v>3.4572764297172544E-4</v>
      </c>
      <c r="H425" s="1">
        <f t="shared" si="429"/>
        <v>6.2340682596796152E-4</v>
      </c>
      <c r="I425" s="1">
        <f t="shared" si="429"/>
        <v>0</v>
      </c>
      <c r="J425" s="1">
        <f t="shared" si="429"/>
        <v>0</v>
      </c>
      <c r="K425" s="1">
        <f t="shared" si="429"/>
        <v>0</v>
      </c>
      <c r="L425" s="1">
        <f t="shared" ref="L425" si="430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0</v>
      </c>
      <c r="L426" s="1">
        <f t="shared" ref="L426" si="432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36.420438580451041</v>
      </c>
      <c r="G427" s="1">
        <f t="shared" ref="G427:K427" si="433">SUM(G428:G429)</f>
        <v>34.163460300214481</v>
      </c>
      <c r="H427" s="1">
        <f t="shared" si="433"/>
        <v>32.182732757033769</v>
      </c>
      <c r="I427" s="1">
        <f t="shared" si="433"/>
        <v>35.502193289880729</v>
      </c>
      <c r="J427" s="1">
        <f t="shared" si="433"/>
        <v>36.405744127986601</v>
      </c>
      <c r="K427" s="1">
        <f t="shared" si="433"/>
        <v>35.297381931744681</v>
      </c>
      <c r="L427" s="1">
        <f t="shared" ref="L427" si="434">SUM(L428:L429)</f>
        <v>22.659455071618268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36.420438580451041</v>
      </c>
      <c r="G428" s="1">
        <f>'[1]Electricity and CHPs_IN'!C$26-G361</f>
        <v>34.163460300214481</v>
      </c>
      <c r="H428" s="1">
        <f>'[1]Electricity and CHPs_IN'!D$26-H361</f>
        <v>32.182732757033769</v>
      </c>
      <c r="I428" s="1">
        <f>'[1]Electricity and CHPs_IN'!E$26-I361</f>
        <v>35.502193289880729</v>
      </c>
      <c r="J428" s="1">
        <f>'[2]Electricity and CHPs_IN'!F$26-J361</f>
        <v>36.405744127986601</v>
      </c>
      <c r="K428" s="1">
        <f>'[2]Electricity and CHPs_IN'!G$26-K361</f>
        <v>26.1215513840922</v>
      </c>
      <c r="L428" s="1">
        <f>'[2]Electricity and CHPs_IN'!H$26-L361</f>
        <v>8.2665446489183836E-2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9.1758305476524793</v>
      </c>
      <c r="L429" s="1">
        <f>'[2]Electricity and CHPs_IN'!H$27-L362</f>
        <v>22.576789625129084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18.210219290225524</v>
      </c>
      <c r="G430" s="1">
        <f t="shared" ref="G430:K430" si="435">SUM(G431:G432)</f>
        <v>17.081730150107241</v>
      </c>
      <c r="H430" s="1">
        <f t="shared" si="435"/>
        <v>16.091366378516884</v>
      </c>
      <c r="I430" s="1">
        <f t="shared" si="435"/>
        <v>17.751096644940361</v>
      </c>
      <c r="J430" s="1">
        <f t="shared" si="435"/>
        <v>18.202872063993297</v>
      </c>
      <c r="K430" s="1">
        <f t="shared" si="435"/>
        <v>17.648690965872341</v>
      </c>
      <c r="L430" s="1">
        <f t="shared" ref="L430" si="436">SUM(L431:L432)</f>
        <v>11.329727535809134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18.210219290225524</v>
      </c>
      <c r="G431" s="1">
        <f t="shared" ref="G431:K431" si="437">IFERROR(G368/G361,0)*G428</f>
        <v>17.081730150107241</v>
      </c>
      <c r="H431" s="1">
        <f t="shared" si="437"/>
        <v>16.091366378516884</v>
      </c>
      <c r="I431" s="1">
        <f t="shared" si="437"/>
        <v>17.751096644940361</v>
      </c>
      <c r="J431" s="1">
        <f t="shared" si="437"/>
        <v>18.202872063993297</v>
      </c>
      <c r="K431" s="1">
        <f t="shared" si="437"/>
        <v>13.0607756920461</v>
      </c>
      <c r="L431" s="1">
        <f t="shared" ref="L431" si="438">IFERROR(L368/L361,0)*L428</f>
        <v>4.1332723244591918E-2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4.5879152738262396</v>
      </c>
      <c r="L432" s="1">
        <f t="shared" ref="L432" si="440">IFERROR(L369/L362,0)*L429</f>
        <v>11.288394812564542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18.210219290225517</v>
      </c>
      <c r="G433" s="1">
        <f t="shared" ref="G433:K433" si="441">SUM(G434:G435)</f>
        <v>17.081730150107241</v>
      </c>
      <c r="H433" s="1">
        <f t="shared" si="441"/>
        <v>16.091366378516884</v>
      </c>
      <c r="I433" s="1">
        <f t="shared" si="441"/>
        <v>17.751096644940368</v>
      </c>
      <c r="J433" s="1">
        <f t="shared" si="441"/>
        <v>18.202872063993304</v>
      </c>
      <c r="K433" s="1">
        <f t="shared" si="441"/>
        <v>17.648690965872341</v>
      </c>
      <c r="L433" s="1">
        <f t="shared" ref="L433" si="442">SUM(L434:L435)</f>
        <v>11.329727535809134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18.210219290225517</v>
      </c>
      <c r="G434" s="1">
        <f t="shared" ref="G434:K434" si="443">G428-G431</f>
        <v>17.081730150107241</v>
      </c>
      <c r="H434" s="1">
        <f t="shared" si="443"/>
        <v>16.091366378516884</v>
      </c>
      <c r="I434" s="1">
        <f t="shared" si="443"/>
        <v>17.751096644940368</v>
      </c>
      <c r="J434" s="1">
        <f t="shared" si="443"/>
        <v>18.202872063993304</v>
      </c>
      <c r="K434" s="1">
        <f t="shared" si="443"/>
        <v>13.0607756920461</v>
      </c>
      <c r="L434" s="1">
        <f t="shared" ref="L434" si="444">L428-L431</f>
        <v>4.1332723244591918E-2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4.5879152738262396</v>
      </c>
      <c r="L435" s="1">
        <f t="shared" ref="L435" si="446">L429-L432</f>
        <v>11.288394812564542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1.2418533856176188</v>
      </c>
      <c r="G436" s="1">
        <f t="shared" ref="G436:L436" si="447">G437</f>
        <v>0.16613548242535944</v>
      </c>
      <c r="H436" s="1">
        <f t="shared" si="447"/>
        <v>2.43798324717241E-3</v>
      </c>
      <c r="I436" s="1">
        <f t="shared" si="447"/>
        <v>2.4332403182052551</v>
      </c>
      <c r="J436" s="1">
        <f t="shared" si="447"/>
        <v>2.3451899373316589</v>
      </c>
      <c r="K436" s="1">
        <f t="shared" si="447"/>
        <v>2.9617673359986814</v>
      </c>
      <c r="L436" s="1">
        <f t="shared" si="447"/>
        <v>6.7386766532046474E-3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1.2418533856176188</v>
      </c>
      <c r="G437" s="1">
        <f>'[1]Electricity and CHPs_IN'!C$25-G380</f>
        <v>0.16613548242535944</v>
      </c>
      <c r="H437" s="1">
        <f>'[1]Electricity and CHPs_IN'!D$25-H380</f>
        <v>2.43798324717241E-3</v>
      </c>
      <c r="I437" s="1">
        <f>'[1]Electricity and CHPs_IN'!E$25-I380</f>
        <v>2.4332403182052551</v>
      </c>
      <c r="J437" s="1">
        <f>'[2]Electricity and CHPs_IN'!F$25-J380</f>
        <v>2.3451899373316589</v>
      </c>
      <c r="K437" s="1">
        <f>'[2]Electricity and CHPs_IN'!G$25-K380</f>
        <v>2.9617673359986814</v>
      </c>
      <c r="L437" s="1">
        <f>'[2]Electricity and CHPs_IN'!H$25-L380</f>
        <v>6.7386766532046474E-3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6.0439165973165225E-2</v>
      </c>
      <c r="L438" s="1">
        <f t="shared" si="448"/>
        <v>6.1494128403777402E-2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6.0439165973165225E-2</v>
      </c>
      <c r="L439" s="1">
        <f>'[2]Electricity and CHPs_IN'!H$30-L398</f>
        <v>6.1494128403777402E-2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7.809930197094646</v>
      </c>
      <c r="G440" s="1">
        <f t="shared" ref="G440:K440" si="449">SUM(G441,G447,G449,G455,G457,G459,G461)</f>
        <v>10.170785808506004</v>
      </c>
      <c r="H440" s="1">
        <f t="shared" si="449"/>
        <v>9.4864742993489983</v>
      </c>
      <c r="I440" s="1">
        <f t="shared" si="449"/>
        <v>8.0896231356660397</v>
      </c>
      <c r="J440" s="1">
        <f t="shared" si="449"/>
        <v>8.8491557154364298</v>
      </c>
      <c r="K440" s="1">
        <f t="shared" si="449"/>
        <v>8.2967563163522389</v>
      </c>
      <c r="L440" s="1">
        <f t="shared" ref="L440" si="450">SUM(L441,L447,L449,L455,L457,L459,L461)</f>
        <v>7.3404683031644771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4.3959942682353681</v>
      </c>
      <c r="G441" s="1">
        <f t="shared" ref="G441:L441" si="451">+G442</f>
        <v>2.6131853661727718</v>
      </c>
      <c r="H441" s="1">
        <f t="shared" si="451"/>
        <v>2.3689264235016441</v>
      </c>
      <c r="I441" s="1">
        <f t="shared" si="451"/>
        <v>2.3679140291548419</v>
      </c>
      <c r="J441" s="1">
        <f t="shared" si="451"/>
        <v>2.3679055645775917</v>
      </c>
      <c r="K441" s="1">
        <f t="shared" si="451"/>
        <v>2.3679084567370836</v>
      </c>
      <c r="L441" s="1">
        <f t="shared" si="451"/>
        <v>2.367889831480031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4.3959942682353681</v>
      </c>
      <c r="G442" s="1">
        <f t="shared" ref="G442:K442" si="452">SUM(G444:G446)</f>
        <v>2.6131853661727718</v>
      </c>
      <c r="H442" s="1">
        <f t="shared" si="452"/>
        <v>2.3689264235016441</v>
      </c>
      <c r="I442" s="1">
        <f t="shared" si="452"/>
        <v>2.3679140291548419</v>
      </c>
      <c r="J442" s="1">
        <f t="shared" si="452"/>
        <v>2.3679055645775917</v>
      </c>
      <c r="K442" s="1">
        <f t="shared" si="452"/>
        <v>2.3679084567370836</v>
      </c>
      <c r="L442" s="1">
        <f t="shared" ref="L442" si="453">SUM(L444:L446)</f>
        <v>2.367889831480031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2.028085013227257</v>
      </c>
      <c r="G443" s="1">
        <f t="shared" ref="G443:L443" si="454">G444</f>
        <v>0.24528279535584216</v>
      </c>
      <c r="H443" s="1">
        <f t="shared" si="454"/>
        <v>1.0198577568946892E-3</v>
      </c>
      <c r="I443" s="1">
        <f t="shared" si="454"/>
        <v>0</v>
      </c>
      <c r="J443" s="1">
        <f t="shared" si="454"/>
        <v>0</v>
      </c>
      <c r="K443" s="1">
        <f t="shared" si="454"/>
        <v>0</v>
      </c>
      <c r="L443" s="1">
        <f t="shared" si="454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2.028085013227257</v>
      </c>
      <c r="G444" s="1">
        <f>'[1]Electricity and CHPs_IN'!C$90</f>
        <v>0.24528279535584216</v>
      </c>
      <c r="H444" s="1">
        <f>'[1]Electricity and CHPs_IN'!D$90</f>
        <v>1.0198577568946892E-3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1.1839546275040558</v>
      </c>
      <c r="G445" s="1">
        <f t="shared" ref="G445:L445" si="455">G446</f>
        <v>1.1839512854084648</v>
      </c>
      <c r="H445" s="1">
        <f t="shared" si="455"/>
        <v>1.1839532828723747</v>
      </c>
      <c r="I445" s="1">
        <f t="shared" si="455"/>
        <v>1.183957014577421</v>
      </c>
      <c r="J445" s="1">
        <f t="shared" si="455"/>
        <v>1.1839527822887959</v>
      </c>
      <c r="K445" s="1">
        <f t="shared" si="455"/>
        <v>1.1839542283685418</v>
      </c>
      <c r="L445" s="1">
        <f t="shared" si="455"/>
        <v>1.1839449157400155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1.1839546275040558</v>
      </c>
      <c r="G446" s="1">
        <f>'[1]Electricity and CHPs_IN'!C$91</f>
        <v>1.1839512854084648</v>
      </c>
      <c r="H446" s="1">
        <f>'[1]Electricity and CHPs_IN'!D$91</f>
        <v>1.1839532828723747</v>
      </c>
      <c r="I446" s="1">
        <f>'[1]Electricity and CHPs_IN'!E$91</f>
        <v>1.183957014577421</v>
      </c>
      <c r="J446" s="1">
        <f>'[2]Electricity and CHPs_IN'!F$91</f>
        <v>1.1839527822887959</v>
      </c>
      <c r="K446" s="1">
        <f>'[2]Electricity and CHPs_IN'!G$91</f>
        <v>1.1839542283685418</v>
      </c>
      <c r="L446" s="1">
        <f>'[2]Electricity and CHPs_IN'!H$91</f>
        <v>1.1839449157400155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1.4500112719099356</v>
      </c>
      <c r="G447" s="1">
        <f t="shared" ref="G447:L447" si="456">G448</f>
        <v>3.8018072493950106</v>
      </c>
      <c r="H447" s="1">
        <f t="shared" si="456"/>
        <v>3.5280786039863865</v>
      </c>
      <c r="I447" s="1">
        <f t="shared" si="456"/>
        <v>1.0609162088239694</v>
      </c>
      <c r="J447" s="1">
        <f t="shared" si="456"/>
        <v>0.85630911929824161</v>
      </c>
      <c r="K447" s="1">
        <f t="shared" si="456"/>
        <v>0.85630244901962305</v>
      </c>
      <c r="L447" s="1">
        <f t="shared" si="456"/>
        <v>0.26172965173491508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1.4500112719099356</v>
      </c>
      <c r="G448" s="1">
        <f>'[1]Electricity and CHPs_IN'!C$92</f>
        <v>3.8018072493950106</v>
      </c>
      <c r="H448" s="1">
        <f>'[1]Electricity and CHPs_IN'!D$92</f>
        <v>3.5280786039863865</v>
      </c>
      <c r="I448" s="1">
        <f>'[1]Electricity and CHPs_IN'!E$92</f>
        <v>1.0609162088239694</v>
      </c>
      <c r="J448" s="1">
        <f>'[2]Electricity and CHPs_IN'!F$92</f>
        <v>0.85630911929824161</v>
      </c>
      <c r="K448" s="1">
        <f>'[2]Electricity and CHPs_IN'!G$92</f>
        <v>0.85630244901962305</v>
      </c>
      <c r="L448" s="1">
        <f>'[2]Electricity and CHPs_IN'!H$92</f>
        <v>0.26172965173491508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0.2154260062641343</v>
      </c>
      <c r="G449" s="1">
        <f t="shared" ref="G449:L449" si="457">G450</f>
        <v>0.21740010386533087</v>
      </c>
      <c r="H449" s="1">
        <f t="shared" si="457"/>
        <v>0.21673522869909792</v>
      </c>
      <c r="I449" s="1">
        <f t="shared" si="457"/>
        <v>0.21645742130638385</v>
      </c>
      <c r="J449" s="1">
        <f t="shared" si="457"/>
        <v>0.19840431126187638</v>
      </c>
      <c r="K449" s="1">
        <f t="shared" si="457"/>
        <v>1.6035769349741501E-4</v>
      </c>
      <c r="L449" s="1">
        <f t="shared" si="457"/>
        <v>2.5729412730186386E-6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0.2154260062641343</v>
      </c>
      <c r="G450" s="1">
        <f>'[1]Electricity and CHPs_IN'!C$93</f>
        <v>0.21740010386533087</v>
      </c>
      <c r="H450" s="1">
        <f>'[1]Electricity and CHPs_IN'!D$93</f>
        <v>0.21673522869909792</v>
      </c>
      <c r="I450" s="1">
        <f>'[1]Electricity and CHPs_IN'!E$93</f>
        <v>0.21645742130638385</v>
      </c>
      <c r="J450" s="1">
        <f>'[2]Electricity and CHPs_IN'!F$93</f>
        <v>0.19840431126187638</v>
      </c>
      <c r="K450" s="1">
        <f>'[2]Electricity and CHPs_IN'!G$93</f>
        <v>1.6035769349741501E-4</v>
      </c>
      <c r="L450" s="1">
        <f>'[2]Electricity and CHPs_IN'!H$93</f>
        <v>2.5729412730186386E-6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0.2154260062641343</v>
      </c>
      <c r="G451" s="1">
        <f t="shared" ref="G451:L451" si="458">G452</f>
        <v>0.21740010386533087</v>
      </c>
      <c r="H451" s="1">
        <f t="shared" si="458"/>
        <v>0.21673522869909792</v>
      </c>
      <c r="I451" s="1">
        <f t="shared" si="458"/>
        <v>0.21645742130638385</v>
      </c>
      <c r="J451" s="1">
        <f t="shared" si="458"/>
        <v>0.19840431126187638</v>
      </c>
      <c r="K451" s="1">
        <f t="shared" si="458"/>
        <v>1.6035769349741501E-4</v>
      </c>
      <c r="L451" s="1">
        <f t="shared" si="458"/>
        <v>2.5729412730186386E-6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0.2154260062641343</v>
      </c>
      <c r="G452" s="1">
        <f t="shared" ref="G452:K452" si="459">G450</f>
        <v>0.21740010386533087</v>
      </c>
      <c r="H452" s="1">
        <f t="shared" si="459"/>
        <v>0.21673522869909792</v>
      </c>
      <c r="I452" s="1">
        <f t="shared" si="459"/>
        <v>0.21645742130638385</v>
      </c>
      <c r="J452" s="1">
        <f t="shared" si="459"/>
        <v>0.19840431126187638</v>
      </c>
      <c r="K452" s="1">
        <f t="shared" si="459"/>
        <v>1.6035769349741501E-4</v>
      </c>
      <c r="L452" s="1">
        <f t="shared" ref="L452" si="460">L450</f>
        <v>2.5729412730186386E-6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1.7484986506852089</v>
      </c>
      <c r="G455" s="1">
        <f t="shared" ref="G455:L455" si="462">G456</f>
        <v>1.57801770424623</v>
      </c>
      <c r="H455" s="1">
        <f t="shared" si="462"/>
        <v>1.3529567421906554</v>
      </c>
      <c r="I455" s="1">
        <f t="shared" si="462"/>
        <v>1.0468959242165832</v>
      </c>
      <c r="J455" s="1">
        <f t="shared" si="462"/>
        <v>2.2784717686836262</v>
      </c>
      <c r="K455" s="1">
        <f t="shared" si="462"/>
        <v>1.7636617443797236</v>
      </c>
      <c r="L455" s="1">
        <f t="shared" si="462"/>
        <v>1.0559725072378818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1.7484986506852089</v>
      </c>
      <c r="G456" s="1">
        <f>'[1]Electricity and CHPs_IN'!C$94</f>
        <v>1.57801770424623</v>
      </c>
      <c r="H456" s="1">
        <f>'[1]Electricity and CHPs_IN'!D$94</f>
        <v>1.3529567421906554</v>
      </c>
      <c r="I456" s="1">
        <f>'[1]Electricity and CHPs_IN'!E$94</f>
        <v>1.0468959242165832</v>
      </c>
      <c r="J456" s="1">
        <f>'[2]Electricity and CHPs_IN'!F$94</f>
        <v>2.2784717686836262</v>
      </c>
      <c r="K456" s="1">
        <f>'[2]Electricity and CHPs_IN'!G$94</f>
        <v>1.7636617443797236</v>
      </c>
      <c r="L456" s="1">
        <f>'[2]Electricity and CHPs_IN'!H$94</f>
        <v>1.0559725072378818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1.3136463048959627E-4</v>
      </c>
      <c r="J457" s="1">
        <f t="shared" si="463"/>
        <v>6.9824869667186234E-5</v>
      </c>
      <c r="K457" s="1">
        <f t="shared" si="463"/>
        <v>7.0035803158129633E-5</v>
      </c>
      <c r="L457" s="1">
        <f t="shared" si="463"/>
        <v>7.0288995773616804E-5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1.3136463048959627E-4</v>
      </c>
      <c r="J458" s="1">
        <f>'[2]Electricity and CHPs_IN'!F$95</f>
        <v>6.9824869667186234E-5</v>
      </c>
      <c r="K458" s="1">
        <f>'[2]Electricity and CHPs_IN'!G$95</f>
        <v>7.0035803158129633E-5</v>
      </c>
      <c r="L458" s="1">
        <f>'[2]Electricity and CHPs_IN'!H$95</f>
        <v>7.0288995773616804E-5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7.8766791396035345E-5</v>
      </c>
      <c r="L459" s="1">
        <f t="shared" si="464"/>
        <v>7.9239707356214351E-5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7.8766791396035345E-5</v>
      </c>
      <c r="L460" s="1">
        <f>'[2]Electricity and CHPs_IN'!H$96</f>
        <v>7.9239707356214351E-5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1.9603753848266612</v>
      </c>
      <c r="H461" s="1">
        <f>H462</f>
        <v>2.0197773009712137</v>
      </c>
      <c r="I461" s="1">
        <f t="shared" ref="I461" si="466">I462</f>
        <v>3.397308187533771</v>
      </c>
      <c r="J461" s="1">
        <f t="shared" ref="J461" si="467">J462</f>
        <v>3.1479951267454265</v>
      </c>
      <c r="K461" s="1">
        <f t="shared" ref="K461:L461" si="468">K462</f>
        <v>3.3085745059277571</v>
      </c>
      <c r="L461" s="1">
        <f t="shared" si="468"/>
        <v>3.6547242110672462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1.9603753848266612</v>
      </c>
      <c r="H462" s="1">
        <f>'[1]Electricity and CHPs_IN'!D$97</f>
        <v>2.0197773009712137</v>
      </c>
      <c r="I462" s="1">
        <f>'[1]Electricity and CHPs_IN'!E$97</f>
        <v>3.397308187533771</v>
      </c>
      <c r="J462" s="1">
        <f>'[2]Electricity and CHPs_IN'!F$97</f>
        <v>3.1479951267454265</v>
      </c>
      <c r="K462" s="1">
        <f>'[2]Electricity and CHPs_IN'!G$97</f>
        <v>3.3085745059277571</v>
      </c>
      <c r="L462" s="1">
        <f>'[2]Electricity and CHPs_IN'!H$97</f>
        <v>3.6547242110672462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7.9442130361818766</v>
      </c>
      <c r="G463" s="1">
        <f t="shared" ref="G463:K463" si="469">SUM(G464,G470,G503,G512,G518)</f>
        <v>8.7024889062362814</v>
      </c>
      <c r="H463" s="1">
        <f t="shared" si="469"/>
        <v>6.5693531757753654</v>
      </c>
      <c r="I463" s="1">
        <f t="shared" si="469"/>
        <v>6.9133060006358518</v>
      </c>
      <c r="J463" s="1">
        <f t="shared" si="469"/>
        <v>9.0384733170024862</v>
      </c>
      <c r="K463" s="1">
        <f t="shared" si="469"/>
        <v>10.036199323512545</v>
      </c>
      <c r="L463" s="1">
        <f t="shared" ref="L463" si="470">SUM(L464,L470,L503,L512,L518)</f>
        <v>12.811940524933553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0.27984753234031606</v>
      </c>
      <c r="G464" s="1">
        <f t="shared" ref="G464:L464" si="471">+G465</f>
        <v>0.64142097651939134</v>
      </c>
      <c r="H464" s="1">
        <f t="shared" si="471"/>
        <v>0.50603404188295353</v>
      </c>
      <c r="I464" s="1">
        <f t="shared" si="471"/>
        <v>0.57113023973417731</v>
      </c>
      <c r="J464" s="1">
        <f t="shared" si="471"/>
        <v>0.54050060953755763</v>
      </c>
      <c r="K464" s="1">
        <f t="shared" si="471"/>
        <v>0</v>
      </c>
      <c r="L464" s="1">
        <f t="shared" si="471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0.27984753234031606</v>
      </c>
      <c r="G465" s="1">
        <f>'[1]Electricity and CHPs_IN'!C$41-G301</f>
        <v>0.64142097651939134</v>
      </c>
      <c r="H465" s="1">
        <f>'[1]Electricity and CHPs_IN'!D$41-H301</f>
        <v>0.50603404188295353</v>
      </c>
      <c r="I465" s="1">
        <f>'[1]Electricity and CHPs_IN'!E$41-I301</f>
        <v>0.57113023973417731</v>
      </c>
      <c r="J465" s="1">
        <f>'[2]Electricity and CHPs_IN'!F$41-J301</f>
        <v>0.54050060953755763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0.27984753234031606</v>
      </c>
      <c r="G466" s="1">
        <f t="shared" ref="G466:L466" si="472">G467</f>
        <v>0.64142097651939134</v>
      </c>
      <c r="H466" s="1">
        <f t="shared" si="472"/>
        <v>0.50603404188295353</v>
      </c>
      <c r="I466" s="1">
        <f t="shared" si="472"/>
        <v>0.57113023973417731</v>
      </c>
      <c r="J466" s="1">
        <f t="shared" si="472"/>
        <v>0.54050060953755763</v>
      </c>
      <c r="K466" s="1">
        <f t="shared" si="472"/>
        <v>0</v>
      </c>
      <c r="L466" s="1">
        <f t="shared" si="472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0.27984753234031606</v>
      </c>
      <c r="G467" s="1">
        <f t="shared" ref="G467:K467" si="473">G465-G469</f>
        <v>0.64142097651939134</v>
      </c>
      <c r="H467" s="1">
        <f t="shared" si="473"/>
        <v>0.50603404188295353</v>
      </c>
      <c r="I467" s="1">
        <f t="shared" si="473"/>
        <v>0.57113023973417731</v>
      </c>
      <c r="J467" s="1">
        <f t="shared" si="473"/>
        <v>0.54050060953755763</v>
      </c>
      <c r="K467" s="1">
        <f t="shared" si="473"/>
        <v>0</v>
      </c>
      <c r="L467" s="1">
        <f t="shared" ref="L467" si="474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3.6539716463830381</v>
      </c>
      <c r="G470" s="1">
        <f t="shared" ref="G470:K470" si="478">SUM(G471:G480)</f>
        <v>2.9616842738433915</v>
      </c>
      <c r="H470" s="1">
        <f t="shared" si="478"/>
        <v>2.8117535644201452</v>
      </c>
      <c r="I470" s="1">
        <f t="shared" si="478"/>
        <v>2.6193564329391177</v>
      </c>
      <c r="J470" s="1">
        <f t="shared" si="478"/>
        <v>2.7470886032702424</v>
      </c>
      <c r="K470" s="1">
        <f t="shared" si="478"/>
        <v>3.265384086510239</v>
      </c>
      <c r="L470" s="1">
        <f t="shared" ref="L470" si="479">SUM(L471:L480)</f>
        <v>1.766325370768788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1.0309769136734324</v>
      </c>
      <c r="G471" s="1">
        <f>'[1]Electricity and CHPs_IN'!C$39-G316</f>
        <v>0.13719481180074938</v>
      </c>
      <c r="H471" s="1">
        <f>'[1]Electricity and CHPs_IN'!D$39-H316</f>
        <v>0.8052202744377901</v>
      </c>
      <c r="I471" s="1">
        <f>'[1]Electricity and CHPs_IN'!E$39-I316</f>
        <v>0.96709436884590583</v>
      </c>
      <c r="J471" s="1">
        <f>'[2]Electricity and CHPs_IN'!F$39-J316</f>
        <v>0.16591841660168616</v>
      </c>
      <c r="K471" s="1">
        <f>'[2]Electricity and CHPs_IN'!G$39-K316</f>
        <v>0.99977681758750225</v>
      </c>
      <c r="L471" s="1">
        <f>'[2]Electricity and CHPs_IN'!H$39-L316</f>
        <v>0.28675210132736878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0.11390139848482264</v>
      </c>
      <c r="L472" s="6">
        <f>'[2]Electricity and CHPs_IN'!H$40-L317</f>
        <v>0.11179631444276521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5.6775212613581511E-2</v>
      </c>
      <c r="G474" s="1">
        <f>'[1]Electricity and CHPs_IN'!C$48-G319</f>
        <v>1.4793060111293532E-2</v>
      </c>
      <c r="H474" s="1">
        <f>'[1]Electricity and CHPs_IN'!D$48-H319</f>
        <v>3.2241070769038718E-2</v>
      </c>
      <c r="I474" s="1">
        <f>'[1]Electricity and CHPs_IN'!E$48-I319</f>
        <v>0</v>
      </c>
      <c r="J474" s="1">
        <f>'[2]Electricity and CHPs_IN'!F$48-J319</f>
        <v>0.10098109797619739</v>
      </c>
      <c r="K474" s="1">
        <f>'[2]Electricity and CHPs_IN'!G$48-K319</f>
        <v>4.9941092249430726E-2</v>
      </c>
      <c r="L474" s="1">
        <f>'[2]Electricity and CHPs_IN'!H$48-L319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8.6174509959069889E-2</v>
      </c>
      <c r="G476" s="1">
        <f>'[1]Electricity and CHPs_IN'!C$51-G321</f>
        <v>7.0582561988486184E-2</v>
      </c>
      <c r="H476" s="1">
        <f>'[1]Electricity and CHPs_IN'!D$51-H321</f>
        <v>0.176397811550977</v>
      </c>
      <c r="I476" s="1">
        <f>'[1]Electricity and CHPs_IN'!E$51-I321</f>
        <v>0</v>
      </c>
      <c r="J476" s="1">
        <f>'[2]Electricity and CHPs_IN'!F$51-J321</f>
        <v>0.64618103921851788</v>
      </c>
      <c r="K476" s="1">
        <f>'[2]Electricity and CHPs_IN'!G$51-K321</f>
        <v>0.29200515532761506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1.5806959188127871</v>
      </c>
      <c r="G478" s="1">
        <f>'[1]Electricity and CHPs_IN'!C$54-G323</f>
        <v>1.7912128852306202</v>
      </c>
      <c r="H478" s="1">
        <f>'[1]Electricity and CHPs_IN'!D$54-H323</f>
        <v>1.7432188453948108</v>
      </c>
      <c r="I478" s="1">
        <f>'[1]Electricity and CHPs_IN'!E$54-I323</f>
        <v>1.6522620640932117</v>
      </c>
      <c r="J478" s="1">
        <f>'[2]Electricity and CHPs_IN'!F$54-J323</f>
        <v>1.5339680730592367</v>
      </c>
      <c r="K478" s="1">
        <f>'[2]Electricity and CHPs_IN'!G$54-K323</f>
        <v>1.4078929345181148</v>
      </c>
      <c r="L478" s="1">
        <f>'[2]Electricity and CHPs_IN'!H$54-L323</f>
        <v>1.367776954998654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0.89934909132416752</v>
      </c>
      <c r="G479" s="1">
        <f>'[1]Electricity and CHPs_IN'!C$55-G324</f>
        <v>0.94790095471224256</v>
      </c>
      <c r="H479" s="1">
        <f>'[1]Electricity and CHPs_IN'!D$55-H324</f>
        <v>5.4675562267528496E-2</v>
      </c>
      <c r="I479" s="1">
        <f>'[1]Electricity and CHPs_IN'!E$55-I324</f>
        <v>0</v>
      </c>
      <c r="J479" s="1">
        <f>'[2]Electricity and CHPs_IN'!F$55-J324</f>
        <v>0.30003997641460434</v>
      </c>
      <c r="K479" s="1">
        <f>'[2]Electricity and CHPs_IN'!G$55-K324</f>
        <v>0.40186668834275358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2.0196655901873735</v>
      </c>
      <c r="G481" s="1">
        <f t="shared" ref="G481:K481" si="480">SUM(G482:G491)</f>
        <v>1.1230957738919216</v>
      </c>
      <c r="H481" s="1">
        <f t="shared" si="480"/>
        <v>1.0102181241073986</v>
      </c>
      <c r="I481" s="1">
        <f t="shared" si="480"/>
        <v>0.87574050468069231</v>
      </c>
      <c r="J481" s="1">
        <f t="shared" si="480"/>
        <v>1.179643608610808</v>
      </c>
      <c r="K481" s="1">
        <f t="shared" si="480"/>
        <v>1.5160725725901345</v>
      </c>
      <c r="L481" s="1">
        <f t="shared" ref="L481" si="481">SUM(L482:L491)</f>
        <v>5.3498033555213209E-5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1.0043182241196882</v>
      </c>
      <c r="G482" s="1">
        <f t="shared" ref="G482:K482" si="483">G471-G493</f>
        <v>0.13164175974940862</v>
      </c>
      <c r="H482" s="1">
        <f t="shared" si="483"/>
        <v>0.76127438879831355</v>
      </c>
      <c r="I482" s="1">
        <f t="shared" si="483"/>
        <v>0.87574050468069231</v>
      </c>
      <c r="J482" s="1">
        <f t="shared" si="483"/>
        <v>0.16092404479576777</v>
      </c>
      <c r="K482" s="1">
        <f t="shared" si="483"/>
        <v>0.81093425749356063</v>
      </c>
      <c r="L482" s="1">
        <f t="shared" ref="L482" si="484">L471-L493</f>
        <v>3.8491367502224705E-5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9.2387165198180604E-2</v>
      </c>
      <c r="L483" s="1">
        <f t="shared" ref="L483" si="486">L472-L494</f>
        <v>1.5006666052988504E-5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5.5307136318817146E-2</v>
      </c>
      <c r="G485" s="1">
        <f t="shared" ref="G485:K485" si="489">G474-G496</f>
        <v>1.4194301078656577E-2</v>
      </c>
      <c r="H485" s="1">
        <f t="shared" si="489"/>
        <v>3.0481474725707957E-2</v>
      </c>
      <c r="I485" s="1">
        <f t="shared" si="489"/>
        <v>0</v>
      </c>
      <c r="J485" s="1">
        <f t="shared" si="489"/>
        <v>0.10098109797619739</v>
      </c>
      <c r="K485" s="1">
        <f t="shared" si="489"/>
        <v>4.9941092249430726E-2</v>
      </c>
      <c r="L485" s="1">
        <f t="shared" ref="L485" si="490">L474-L496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8.3946235515698034E-2</v>
      </c>
      <c r="G487" s="1">
        <f t="shared" ref="G487:K487" si="493">G476-G498</f>
        <v>6.7725685438312519E-2</v>
      </c>
      <c r="H487" s="1">
        <f t="shared" si="493"/>
        <v>0.16677068429205938</v>
      </c>
      <c r="I487" s="1">
        <f t="shared" si="493"/>
        <v>0</v>
      </c>
      <c r="J487" s="1">
        <f t="shared" si="493"/>
        <v>0.62673010405476459</v>
      </c>
      <c r="K487" s="1">
        <f t="shared" si="493"/>
        <v>0.23684984453959543</v>
      </c>
      <c r="L487" s="1">
        <f t="shared" ref="L487" si="494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0.8760939942331698</v>
      </c>
      <c r="G490" s="1">
        <f t="shared" ref="G490:K490" si="497">G479-G501</f>
        <v>0.90953402762554392</v>
      </c>
      <c r="H490" s="1">
        <f t="shared" si="497"/>
        <v>5.1691576291317813E-2</v>
      </c>
      <c r="I490" s="1">
        <f t="shared" si="497"/>
        <v>0</v>
      </c>
      <c r="J490" s="1">
        <f t="shared" si="497"/>
        <v>0.29100836178407813</v>
      </c>
      <c r="K490" s="1">
        <f t="shared" si="497"/>
        <v>0.32596021310936707</v>
      </c>
      <c r="L490" s="1">
        <f t="shared" ref="L490" si="498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0</v>
      </c>
      <c r="J491" s="1">
        <f t="shared" si="499"/>
        <v>0</v>
      </c>
      <c r="K491" s="1">
        <f t="shared" si="499"/>
        <v>0</v>
      </c>
      <c r="L491" s="1">
        <f t="shared" ref="L491" si="500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1.6343060561956653</v>
      </c>
      <c r="G492" s="1">
        <f t="shared" ref="G492:K492" si="501">SUM(G493:G502)</f>
        <v>1.8385884999514701</v>
      </c>
      <c r="H492" s="1">
        <f t="shared" si="501"/>
        <v>1.8015354403127464</v>
      </c>
      <c r="I492" s="1">
        <f t="shared" si="501"/>
        <v>1.7436159282584254</v>
      </c>
      <c r="J492" s="1">
        <f t="shared" si="501"/>
        <v>1.5674449946594347</v>
      </c>
      <c r="K492" s="1">
        <f t="shared" si="501"/>
        <v>1.7493115139201045</v>
      </c>
      <c r="L492" s="1">
        <f t="shared" ref="L492" si="502">SUM(L493:L502)</f>
        <v>1.7662718727352327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2.6658689553744286E-2</v>
      </c>
      <c r="G493" s="1">
        <f t="shared" ref="G493:K493" si="504">IFERROR(G348/G316,0)*G471</f>
        <v>5.5530520513407729E-3</v>
      </c>
      <c r="H493" s="1">
        <f t="shared" si="504"/>
        <v>4.3945885639476552E-2</v>
      </c>
      <c r="I493" s="1">
        <f t="shared" si="504"/>
        <v>9.135386416521353E-2</v>
      </c>
      <c r="J493" s="1">
        <f t="shared" si="504"/>
        <v>4.9943718059183954E-3</v>
      </c>
      <c r="K493" s="1">
        <f t="shared" si="504"/>
        <v>0.18884256009394162</v>
      </c>
      <c r="L493" s="1">
        <f t="shared" ref="L493" si="505">IFERROR(L348/L316,0)*L471</f>
        <v>0.28671360995986656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2.1514233286642037E-2</v>
      </c>
      <c r="L494" s="1">
        <f t="shared" ref="L494" si="507">IFERROR(L349/L317,0)*L472</f>
        <v>0.11178130777671222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1.4680762947643657E-3</v>
      </c>
      <c r="G496" s="1">
        <f t="shared" ref="G496:K496" si="510">IFERROR(G351/G319,0)*G474</f>
        <v>5.9875903263695491E-4</v>
      </c>
      <c r="H496" s="1">
        <f t="shared" si="510"/>
        <v>1.7595960433307619E-3</v>
      </c>
      <c r="I496" s="1">
        <f t="shared" si="510"/>
        <v>0</v>
      </c>
      <c r="J496" s="1">
        <f t="shared" si="510"/>
        <v>0</v>
      </c>
      <c r="K496" s="1">
        <f t="shared" si="510"/>
        <v>0</v>
      </c>
      <c r="L496" s="1">
        <f t="shared" ref="L496" si="511">IFERROR(L351/L319,0)*L474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2.2282744433718494E-3</v>
      </c>
      <c r="G498" s="1">
        <f t="shared" ref="G498:K498" si="514">IFERROR(G353/G321,0)*G476</f>
        <v>2.856876550173667E-3</v>
      </c>
      <c r="H498" s="1">
        <f t="shared" si="514"/>
        <v>9.627127258917614E-3</v>
      </c>
      <c r="I498" s="1">
        <f t="shared" si="514"/>
        <v>0</v>
      </c>
      <c r="J498" s="1">
        <f t="shared" si="514"/>
        <v>1.9450935163753329E-2</v>
      </c>
      <c r="K498" s="1">
        <f t="shared" si="514"/>
        <v>5.5155310788019635E-2</v>
      </c>
      <c r="L498" s="1">
        <f t="shared" ref="L498" si="515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1.5806959188127871</v>
      </c>
      <c r="G500" s="1">
        <f t="shared" ref="G500:K500" si="518">G478</f>
        <v>1.7912128852306202</v>
      </c>
      <c r="H500" s="1">
        <f t="shared" si="518"/>
        <v>1.7432188453948108</v>
      </c>
      <c r="I500" s="1">
        <f t="shared" si="518"/>
        <v>1.6522620640932117</v>
      </c>
      <c r="J500" s="1">
        <f t="shared" si="518"/>
        <v>1.5339680730592367</v>
      </c>
      <c r="K500" s="1">
        <f t="shared" si="518"/>
        <v>1.4078929345181148</v>
      </c>
      <c r="L500" s="1">
        <f t="shared" ref="L500" si="519">L478</f>
        <v>1.367776954998654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2.3255097090997722E-2</v>
      </c>
      <c r="G501" s="1">
        <f t="shared" ref="G501:K501" si="520">IFERROR(G356/G324,0)*G479</f>
        <v>3.8366927086698616E-2</v>
      </c>
      <c r="H501" s="1">
        <f t="shared" si="520"/>
        <v>2.9839859762106841E-3</v>
      </c>
      <c r="I501" s="1">
        <f t="shared" si="520"/>
        <v>0</v>
      </c>
      <c r="J501" s="1">
        <f t="shared" si="520"/>
        <v>9.0316146305261923E-3</v>
      </c>
      <c r="K501" s="1">
        <f t="shared" si="520"/>
        <v>7.5906475233386519E-2</v>
      </c>
      <c r="L501" s="1">
        <f t="shared" ref="L501" si="521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0</v>
      </c>
      <c r="J502" s="1">
        <f t="shared" si="522"/>
        <v>0</v>
      </c>
      <c r="K502" s="1">
        <f t="shared" si="522"/>
        <v>0</v>
      </c>
      <c r="L502" s="1">
        <f t="shared" ref="L502" si="523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3.317520128927498</v>
      </c>
      <c r="G503" s="1">
        <f t="shared" ref="G503:K503" si="524">SUM(G504:G505)</f>
        <v>3.3046591233801537</v>
      </c>
      <c r="H503" s="1">
        <f t="shared" si="524"/>
        <v>1.809036321342589E-2</v>
      </c>
      <c r="I503" s="1">
        <f t="shared" si="524"/>
        <v>1.8357233855824023E-2</v>
      </c>
      <c r="J503" s="1">
        <f t="shared" si="524"/>
        <v>8.2772034288685365E-3</v>
      </c>
      <c r="K503" s="1">
        <f t="shared" si="524"/>
        <v>0.13501268291422591</v>
      </c>
      <c r="L503" s="1">
        <f t="shared" ref="L503" si="525">SUM(L504:L505)</f>
        <v>5.2309332292144575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3.317520128927498</v>
      </c>
      <c r="G504" s="6">
        <f>'[1]Electricity and CHPs_IN'!C$44-G363</f>
        <v>3.3046591233801537</v>
      </c>
      <c r="H504" s="6">
        <f>'[1]Electricity and CHPs_IN'!D$44-H363</f>
        <v>1.809036321342589E-2</v>
      </c>
      <c r="I504" s="6">
        <f>'[1]Electricity and CHPs_IN'!E$44-I363</f>
        <v>1.8357233855824023E-2</v>
      </c>
      <c r="J504" s="6">
        <f>'[2]Electricity and CHPs_IN'!F$44-J363</f>
        <v>8.2772034288685365E-3</v>
      </c>
      <c r="K504" s="6">
        <f>'[2]Electricity and CHPs_IN'!G$44-K363</f>
        <v>4.2332550215118343E-2</v>
      </c>
      <c r="L504" s="6">
        <f>'[2]Electricity and CHPs_IN'!H$44-L363</f>
        <v>1.5596247351947127E-3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9.2680132699107576E-2</v>
      </c>
      <c r="L505" s="1">
        <f>'[2]Electricity and CHPs_IN'!H$45</f>
        <v>5.2293736044792629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3.317520128927498</v>
      </c>
      <c r="G509" s="1">
        <f t="shared" ref="G509:K509" si="528">SUM(G510:G511)</f>
        <v>3.3046591233801537</v>
      </c>
      <c r="H509" s="1">
        <f t="shared" si="528"/>
        <v>1.809036321342589E-2</v>
      </c>
      <c r="I509" s="1">
        <f t="shared" si="528"/>
        <v>1.8357233855824023E-2</v>
      </c>
      <c r="J509" s="1">
        <f t="shared" si="528"/>
        <v>8.2772034288685365E-3</v>
      </c>
      <c r="K509" s="1">
        <f t="shared" si="528"/>
        <v>0.13501268291422591</v>
      </c>
      <c r="L509" s="1">
        <f t="shared" ref="L509" si="529">SUM(L510:L511)</f>
        <v>5.2309332292144575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3.317520128927498</v>
      </c>
      <c r="G510" s="1">
        <f t="shared" ref="G510:K510" si="530">G504</f>
        <v>3.3046591233801537</v>
      </c>
      <c r="H510" s="1">
        <f t="shared" si="530"/>
        <v>1.809036321342589E-2</v>
      </c>
      <c r="I510" s="1">
        <f t="shared" si="530"/>
        <v>1.8357233855824023E-2</v>
      </c>
      <c r="J510" s="1">
        <f t="shared" si="530"/>
        <v>8.2772034288685365E-3</v>
      </c>
      <c r="K510" s="1">
        <f t="shared" si="530"/>
        <v>4.2332550215118343E-2</v>
      </c>
      <c r="L510" s="1">
        <f t="shared" ref="L510" si="531">L504</f>
        <v>1.5596247351947127E-3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9.2680132699107576E-2</v>
      </c>
      <c r="L511" s="1">
        <f t="shared" ref="L511" si="533">L505</f>
        <v>5.2293736044792629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0.69287372853102425</v>
      </c>
      <c r="G512" s="1">
        <f t="shared" ref="G512:K512" si="534">SUM(G513:G517)</f>
        <v>1.7947245324933443</v>
      </c>
      <c r="H512" s="1">
        <f t="shared" si="534"/>
        <v>3.2334752062588406</v>
      </c>
      <c r="I512" s="1">
        <f t="shared" si="534"/>
        <v>3.6718283965930141</v>
      </c>
      <c r="J512" s="1">
        <f t="shared" si="534"/>
        <v>5.7391130612354662</v>
      </c>
      <c r="K512" s="1">
        <f t="shared" si="534"/>
        <v>6.4867344315062114</v>
      </c>
      <c r="L512" s="1">
        <f t="shared" ref="L512" si="535">SUM(L513:L517)</f>
        <v>5.6856542420036016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0.69287372853102425</v>
      </c>
      <c r="G513" s="6">
        <f>'[1]Electricity and CHPs_IN'!C$42-G382</f>
        <v>1.7947245324933443</v>
      </c>
      <c r="H513" s="6">
        <f>'[1]Electricity and CHPs_IN'!D$42-H382</f>
        <v>3.2334752062588406</v>
      </c>
      <c r="I513" s="6">
        <f>'[1]Electricity and CHPs_IN'!E$42-I382</f>
        <v>3.6718283965930141</v>
      </c>
      <c r="J513" s="6">
        <f>'[2]Electricity and CHPs_IN'!F$42-J382</f>
        <v>5.4264646565290562</v>
      </c>
      <c r="K513" s="6">
        <f>'[2]Electricity and CHPs_IN'!G$42-K382</f>
        <v>4.7217789906348795</v>
      </c>
      <c r="L513" s="6">
        <f>'[2]Electricity and CHPs_IN'!H$42-L382</f>
        <v>1.6553078266685657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1.460001014315083</v>
      </c>
      <c r="L514" s="1">
        <f>'[2]Electricity and CHPs_IN'!H$43-L383</f>
        <v>4.0182595361543152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6.370795496753315E-3</v>
      </c>
      <c r="K515" s="1">
        <f>'[2]Electricity and CHPs_IN'!G$50-K384</f>
        <v>6.5293531345206757E-3</v>
      </c>
      <c r="L515" s="1">
        <f>'[2]Electricity and CHPs_IN'!H$50-L384</f>
        <v>2.6952268039864705E-3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0.30506564087257892</v>
      </c>
      <c r="K516" s="1">
        <f>'[2]Electricity and CHPs_IN'!G$53-K385</f>
        <v>0.2969210633984396</v>
      </c>
      <c r="L516" s="1">
        <f>'[2]Electricity and CHPs_IN'!H$53-L385</f>
        <v>8.5880159696136472E-3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1.2119683370773349E-3</v>
      </c>
      <c r="K517" s="1">
        <f>'[2]Electricity and CHPs_IN'!G$56-K386</f>
        <v>1.5040100232893718E-3</v>
      </c>
      <c r="L517" s="1">
        <f>'[2]Electricity and CHPs_IN'!H$56-L386</f>
        <v>8.036364071205347E-4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3.263369751371923E-2</v>
      </c>
      <c r="J518" s="1">
        <f t="shared" si="536"/>
        <v>3.4938395303525157E-3</v>
      </c>
      <c r="K518" s="1">
        <f t="shared" si="536"/>
        <v>0.14906812258186872</v>
      </c>
      <c r="L518" s="1">
        <f t="shared" ref="L518" si="537">SUM(L519:L520)</f>
        <v>0.12902768294670475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3.263369751371923E-2</v>
      </c>
      <c r="J519" s="1">
        <f>'[2]Electricity and CHPs_IN'!F$46-J399</f>
        <v>2.7244001593103055E-3</v>
      </c>
      <c r="K519" s="1">
        <f>'[2]Electricity and CHPs_IN'!G$46-K399</f>
        <v>0.1302085319987667</v>
      </c>
      <c r="L519" s="1">
        <f>'[2]Electricity and CHPs_IN'!H$46-L399</f>
        <v>0.11864177583571284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7.6943937104221043E-4</v>
      </c>
      <c r="K520" s="1">
        <f>'[2]Electricity and CHPs_IN'!G$57-K400</f>
        <v>1.8859590583102024E-2</v>
      </c>
      <c r="L520" s="1">
        <f>'[2]Electricity and CHPs_IN'!H$57-L400</f>
        <v>1.0385907110991896E-2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0.32978920057280486</v>
      </c>
      <c r="G522" s="13">
        <f t="shared" si="538"/>
        <v>0.32672722876215615</v>
      </c>
      <c r="H522" s="13">
        <f t="shared" si="538"/>
        <v>0.32668216507005088</v>
      </c>
      <c r="I522" s="13">
        <f t="shared" si="538"/>
        <v>0.33003793269028431</v>
      </c>
      <c r="J522" s="13">
        <f t="shared" si="538"/>
        <v>0.33008887181157193</v>
      </c>
      <c r="K522" s="13">
        <f t="shared" si="538"/>
        <v>0.33008888346565407</v>
      </c>
      <c r="L522" s="13">
        <f t="shared" ref="L522" si="539">IFERROR(L65/L293,"-")</f>
        <v>0.31851201201768481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0.79999995308176319</v>
      </c>
      <c r="G525" s="13">
        <f t="shared" si="540"/>
        <v>0.79999995286671421</v>
      </c>
      <c r="H525" s="13">
        <f t="shared" si="540"/>
        <v>0.79999983711874434</v>
      </c>
      <c r="I525" s="13">
        <f t="shared" si="540"/>
        <v>0.80000003770522066</v>
      </c>
      <c r="J525" s="13">
        <f t="shared" si="540"/>
        <v>0.80000001514278563</v>
      </c>
      <c r="K525" s="13">
        <f t="shared" si="540"/>
        <v>0.80000001499195017</v>
      </c>
      <c r="L525" s="13">
        <f t="shared" ref="L525" si="543">IFERROR(L69/L297,"-")</f>
        <v>0.80000001949959509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0.31520092182141862</v>
      </c>
      <c r="G526" s="13">
        <f t="shared" ref="G526:K526" si="544">IFERROR(G71/G299,"-")</f>
        <v>0.10791175560789287</v>
      </c>
      <c r="H526" s="13">
        <f t="shared" si="544"/>
        <v>0.29772171819813503</v>
      </c>
      <c r="I526" s="13">
        <f t="shared" si="544"/>
        <v>0.25029107707271042</v>
      </c>
      <c r="J526" s="13">
        <f t="shared" si="544"/>
        <v>0.29998545938766635</v>
      </c>
      <c r="K526" s="13">
        <f t="shared" si="544"/>
        <v>0.29984030099921305</v>
      </c>
      <c r="L526" s="13">
        <f t="shared" ref="L526" si="545">IFERROR(L71/L299,"-")</f>
        <v>0.31627646862290093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7.4951053345052893E-2</v>
      </c>
      <c r="G527" s="13">
        <f t="shared" ref="G527:K527" si="546">IFERROR(G72/(G300+G413),"-")</f>
        <v>5.7766042198366535E-2</v>
      </c>
      <c r="H527" s="13">
        <f t="shared" si="546"/>
        <v>9.2752744213654259E-2</v>
      </c>
      <c r="I527" s="13">
        <f t="shared" si="546"/>
        <v>0.10062180119224279</v>
      </c>
      <c r="J527" s="13">
        <f t="shared" si="546"/>
        <v>0.10330604543672844</v>
      </c>
      <c r="K527" s="13">
        <f t="shared" si="546"/>
        <v>0.1161967461418567</v>
      </c>
      <c r="L527" s="13">
        <f t="shared" ref="L527" si="547">IFERROR(L72/(L300+L413),"-")</f>
        <v>0.10359091179201754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0.23411393239780351</v>
      </c>
      <c r="G528" s="13">
        <f t="shared" ref="G528:K528" si="548">IFERROR(G73/(G301+G465),"-")</f>
        <v>0.24659578146445743</v>
      </c>
      <c r="H528" s="13">
        <f t="shared" si="548"/>
        <v>0.25245366726988605</v>
      </c>
      <c r="I528" s="13">
        <f t="shared" si="548"/>
        <v>0.26330320021901615</v>
      </c>
      <c r="J528" s="13">
        <f t="shared" si="548"/>
        <v>0.26335828277268353</v>
      </c>
      <c r="K528" s="13" t="str">
        <f t="shared" si="548"/>
        <v>-</v>
      </c>
      <c r="L528" s="13" t="str">
        <f t="shared" ref="L528" si="549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0.54871444822748461</v>
      </c>
      <c r="L529" s="13">
        <f t="shared" ref="L529" si="551">IFERROR(L83/L311,"-")</f>
        <v>0.57377999940697733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 t="str">
        <f t="shared" si="552"/>
        <v>-</v>
      </c>
      <c r="J530" s="13" t="str">
        <f t="shared" si="552"/>
        <v>-</v>
      </c>
      <c r="K530" s="13">
        <f t="shared" si="552"/>
        <v>1.8199412511383786E-3</v>
      </c>
      <c r="L530" s="13">
        <f t="shared" ref="L530" si="553">IFERROR(L84/L312,"-")</f>
        <v>0.38866582959700657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 t="str">
        <f t="shared" si="554"/>
        <v>-</v>
      </c>
      <c r="L531" s="13" t="str">
        <f t="shared" ref="L531" si="555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0.26209992849476549</v>
      </c>
      <c r="G532" s="13">
        <f t="shared" ref="G532:K532" si="556">IFERROR(G86/SUM(G314,G419),"-")</f>
        <v>0.21606189480329571</v>
      </c>
      <c r="H532" s="13">
        <f t="shared" si="556"/>
        <v>0.20409043846511121</v>
      </c>
      <c r="I532" s="13" t="str">
        <f t="shared" si="556"/>
        <v>-</v>
      </c>
      <c r="J532" s="13" t="str">
        <f t="shared" si="556"/>
        <v>-</v>
      </c>
      <c r="K532" s="13" t="str">
        <f t="shared" si="556"/>
        <v>-</v>
      </c>
      <c r="L532" s="13" t="str">
        <f t="shared" ref="L532" si="557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 t="str">
        <f t="shared" si="558"/>
        <v>-</v>
      </c>
      <c r="L533" s="13" t="str">
        <f t="shared" ref="L533" si="559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0.3481685129767661</v>
      </c>
      <c r="G534" s="13">
        <f t="shared" ref="G534:K534" si="560">IFERROR(G88/SUM(G316,G471),"-'")</f>
        <v>0.35166990461557723</v>
      </c>
      <c r="H534" s="13">
        <f t="shared" si="560"/>
        <v>0.35473332224832471</v>
      </c>
      <c r="I534" s="13">
        <f t="shared" si="560"/>
        <v>0.35996342567048906</v>
      </c>
      <c r="J534" s="13">
        <f t="shared" si="560"/>
        <v>0.35975305509453642</v>
      </c>
      <c r="K534" s="13">
        <f t="shared" si="560"/>
        <v>0.31843033370646751</v>
      </c>
      <c r="L534" s="13">
        <f t="shared" ref="L534" si="561">IFERROR(L88/SUM(L316,L471),"-'")</f>
        <v>0.21800581760253551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0.32285406563926339</v>
      </c>
      <c r="L535" s="13">
        <f t="shared" ref="L535" si="564">IFERROR(L89/SUM(L317,L472),"-")</f>
        <v>0.32335683762449824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0.20157354465181296</v>
      </c>
      <c r="G537" s="13">
        <f t="shared" ref="G537:K537" si="567">IFERROR(G91/SUM(G319,G474),"-")</f>
        <v>0.26138603832575424</v>
      </c>
      <c r="H537" s="13">
        <f t="shared" si="567"/>
        <v>0.22623422694327444</v>
      </c>
      <c r="I537" s="13" t="str">
        <f t="shared" si="567"/>
        <v>-</v>
      </c>
      <c r="J537" s="13">
        <f t="shared" si="567"/>
        <v>0.27502225653503359</v>
      </c>
      <c r="K537" s="13">
        <f t="shared" si="567"/>
        <v>0.27110653211411667</v>
      </c>
      <c r="L537" s="13" t="str">
        <f t="shared" ref="L537" si="568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 t="str">
        <f t="shared" si="569"/>
        <v>-</v>
      </c>
      <c r="J538" s="13" t="str">
        <f t="shared" si="569"/>
        <v>-</v>
      </c>
      <c r="K538" s="13" t="str">
        <f t="shared" si="569"/>
        <v>-</v>
      </c>
      <c r="L538" s="13" t="str">
        <f t="shared" ref="L538" si="570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0.23793531127233153</v>
      </c>
      <c r="G539" s="13">
        <f t="shared" ref="G539:K539" si="571">IFERROR(G93/SUM(G321,G476),"-")</f>
        <v>0.29065252291024024</v>
      </c>
      <c r="H539" s="13">
        <f t="shared" si="571"/>
        <v>0.27904374303757856</v>
      </c>
      <c r="I539" s="13" t="str">
        <f t="shared" si="571"/>
        <v>-</v>
      </c>
      <c r="J539" s="13">
        <f t="shared" si="571"/>
        <v>0.30118485346959489</v>
      </c>
      <c r="K539" s="13">
        <f t="shared" si="571"/>
        <v>0.30256123866822288</v>
      </c>
      <c r="L539" s="13" t="str">
        <f t="shared" ref="L539" si="572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 t="str">
        <f t="shared" si="573"/>
        <v>-</v>
      </c>
      <c r="J540" s="13" t="str">
        <f t="shared" si="573"/>
        <v>-</v>
      </c>
      <c r="K540" s="13" t="str">
        <f t="shared" si="573"/>
        <v>-</v>
      </c>
      <c r="L540" s="13" t="str">
        <f t="shared" ref="L540" si="574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0.36265575525281818</v>
      </c>
      <c r="G541" s="13">
        <f t="shared" ref="G541:K541" si="575">IFERROR(G95/SUM(G323,G478),"-")</f>
        <v>0.36305008465980443</v>
      </c>
      <c r="H541" s="13">
        <f t="shared" si="575"/>
        <v>0.3634125055675182</v>
      </c>
      <c r="I541" s="13">
        <f t="shared" si="575"/>
        <v>0.36470896589470053</v>
      </c>
      <c r="J541" s="13">
        <f t="shared" si="575"/>
        <v>0.36984546707204163</v>
      </c>
      <c r="K541" s="13">
        <f t="shared" si="575"/>
        <v>0.37416093713130649</v>
      </c>
      <c r="L541" s="13">
        <f t="shared" ref="L541" si="576">IFERROR(L95/SUM(L323,L478),"-")</f>
        <v>0.38513477542959884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0.35567479556845127</v>
      </c>
      <c r="G542" s="13">
        <f t="shared" ref="G542:K542" si="577">IFERROR(G96/SUM(G324,G479),"-")</f>
        <v>0.35998241394898939</v>
      </c>
      <c r="H542" s="13">
        <f t="shared" si="577"/>
        <v>0.35030438038798928</v>
      </c>
      <c r="I542" s="13" t="str">
        <f t="shared" si="577"/>
        <v>-</v>
      </c>
      <c r="J542" s="13">
        <f t="shared" si="577"/>
        <v>0.35862940670404864</v>
      </c>
      <c r="K542" s="13">
        <f t="shared" si="577"/>
        <v>0.35899722304101372</v>
      </c>
      <c r="L542" s="13" t="str">
        <f t="shared" ref="L542" si="578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 t="str">
        <f t="shared" si="579"/>
        <v>-</v>
      </c>
      <c r="J543" s="13" t="str">
        <f t="shared" si="579"/>
        <v>-</v>
      </c>
      <c r="K543" s="13" t="str">
        <f t="shared" si="579"/>
        <v>-</v>
      </c>
      <c r="L543" s="13" t="str">
        <f t="shared" ref="L543" si="580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581">IFERROR(G131/G359,"-")</f>
        <v>0.35745695376016573</v>
      </c>
      <c r="H544" s="13">
        <f t="shared" si="581"/>
        <v>0.35745695376016601</v>
      </c>
      <c r="I544" s="13">
        <f t="shared" si="581"/>
        <v>0.35745695376016617</v>
      </c>
      <c r="J544" s="13">
        <f t="shared" si="581"/>
        <v>0.35745695376016623</v>
      </c>
      <c r="K544" s="13">
        <f t="shared" si="581"/>
        <v>0.35745695376016584</v>
      </c>
      <c r="L544" s="13">
        <f t="shared" ref="L544" si="582">IFERROR(L131/L359,"-")</f>
        <v>0.35745695376016606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>
        <f t="shared" si="583"/>
        <v>0.33470839322286877</v>
      </c>
      <c r="L545" s="13">
        <f t="shared" ref="L545" si="584">IFERROR(L132/L360,"-")</f>
        <v>0.34140256108732603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3.8383652479047195E-2</v>
      </c>
      <c r="G546" s="13">
        <f t="shared" ref="G546:K546" si="585">IFERROR(G133/SUM(G361,G428),"-")</f>
        <v>3.7422667137767492E-2</v>
      </c>
      <c r="H546" s="13">
        <f t="shared" si="585"/>
        <v>3.7004897388469848E-2</v>
      </c>
      <c r="I546" s="13">
        <f t="shared" si="585"/>
        <v>3.622130913238452E-2</v>
      </c>
      <c r="J546" s="13">
        <f t="shared" si="585"/>
        <v>3.530450576558735E-2</v>
      </c>
      <c r="K546" s="13">
        <f t="shared" si="585"/>
        <v>3.1540126697032801E-2</v>
      </c>
      <c r="L546" s="13">
        <f t="shared" ref="L546" si="586">IFERROR(L133/SUM(L361,L428),"-")</f>
        <v>1.1638353197553726E-2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>
        <f t="shared" si="587"/>
        <v>4.8242849883234774E-2</v>
      </c>
      <c r="L547" s="13">
        <f t="shared" ref="L547" si="588">IFERROR(L134/SUM(L362,L429),"-")</f>
        <v>5.3999999999999979E-2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6.1974291189596013E-2</v>
      </c>
      <c r="G548" s="13">
        <f t="shared" ref="G548:K548" si="589">IFERROR(G135/SUM(G363,G504),"-")</f>
        <v>6.1972862719976235E-2</v>
      </c>
      <c r="H548" s="13">
        <f t="shared" si="589"/>
        <v>6.1972650567355327E-2</v>
      </c>
      <c r="I548" s="13">
        <f t="shared" si="589"/>
        <v>6.1972650567355278E-2</v>
      </c>
      <c r="J548" s="13">
        <f t="shared" si="589"/>
        <v>6.1972650567355313E-2</v>
      </c>
      <c r="K548" s="13">
        <f t="shared" si="589"/>
        <v>6.1972650567355299E-2</v>
      </c>
      <c r="L548" s="13">
        <f t="shared" ref="L548" si="590">IFERROR(L135/SUM(L363,L504),"-")</f>
        <v>6.1972650567355354E-2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>
        <f t="shared" si="591"/>
        <v>4.7880823847050398E-2</v>
      </c>
      <c r="L549" s="13">
        <f t="shared" ref="L549" si="592">IFERROR(L136/SUM(L364,L505),"-")</f>
        <v>4.5431760215214299E-2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0.24385503257005128</v>
      </c>
      <c r="G550" s="13">
        <f t="shared" ref="G550:K550" si="593">IFERROR(G152/SUM(G380,G437),"-")</f>
        <v>0.24929676759835206</v>
      </c>
      <c r="H550" s="13">
        <f t="shared" si="593"/>
        <v>0.21831675863452615</v>
      </c>
      <c r="I550" s="13">
        <f t="shared" si="593"/>
        <v>0.27507047560271369</v>
      </c>
      <c r="J550" s="13">
        <f t="shared" si="593"/>
        <v>0.29065232749525255</v>
      </c>
      <c r="K550" s="13">
        <f t="shared" si="593"/>
        <v>0.30592402870325636</v>
      </c>
      <c r="L550" s="13">
        <f t="shared" ref="L550" si="594">IFERROR(L152/SUM(L380,L437),"-")</f>
        <v>0.28661878875993407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0.19542051965934895</v>
      </c>
      <c r="L551" s="13">
        <f t="shared" ref="L551" si="596">IFERROR(L153/L381,"-")</f>
        <v>0.26550023787607036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0.19752921759072595</v>
      </c>
      <c r="G552" s="13">
        <f t="shared" ref="G552:K552" si="597">IFERROR(G154/SUM(G382,G513),"-")</f>
        <v>0.22581337511976751</v>
      </c>
      <c r="H552" s="13">
        <f t="shared" si="597"/>
        <v>0.26799914205896425</v>
      </c>
      <c r="I552" s="13">
        <f t="shared" si="597"/>
        <v>0.33850162957741597</v>
      </c>
      <c r="J552" s="13">
        <f t="shared" si="597"/>
        <v>0.34577851914284935</v>
      </c>
      <c r="K552" s="13">
        <f t="shared" si="597"/>
        <v>0.35282438659922871</v>
      </c>
      <c r="L552" s="13">
        <f t="shared" ref="L552" si="598">IFERROR(L154/SUM(L382,L513),"-")</f>
        <v>0.36760541301842914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0.33541551007249787</v>
      </c>
      <c r="L553" s="13">
        <f t="shared" ref="L553" si="600">IFERROR(L155/SUM(L383,L514),"-")</f>
        <v>0.34906265100709999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 t="str">
        <f t="shared" si="601"/>
        <v>-</v>
      </c>
      <c r="J554" s="13">
        <f t="shared" si="601"/>
        <v>0.23440298244484065</v>
      </c>
      <c r="K554" s="13">
        <f t="shared" si="601"/>
        <v>0.23543550421276449</v>
      </c>
      <c r="L554" s="13">
        <f t="shared" ref="L554" si="602">IFERROR(L156/SUM(L384,L515),"-")</f>
        <v>0.20720948318319279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 t="str">
        <f t="shared" si="603"/>
        <v>-</v>
      </c>
      <c r="J555" s="13">
        <f t="shared" si="603"/>
        <v>0.26872748237946226</v>
      </c>
      <c r="K555" s="13">
        <f t="shared" si="603"/>
        <v>0.27365730941976874</v>
      </c>
      <c r="L555" s="13">
        <f t="shared" ref="L555" si="604">IFERROR(L157/SUM(L385,L516),"-")</f>
        <v>0.265986242779369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 t="str">
        <f t="shared" si="605"/>
        <v>-</v>
      </c>
      <c r="J556" s="13">
        <f t="shared" si="605"/>
        <v>0.28972415316829581</v>
      </c>
      <c r="K556" s="13">
        <f t="shared" si="605"/>
        <v>0.30018895156455405</v>
      </c>
      <c r="L556" s="13">
        <f t="shared" ref="L556" si="606">IFERROR(L158/SUM(L386,L517),"-")</f>
        <v>0.2538034360020695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>
        <f t="shared" si="607"/>
        <v>0.14999999999999986</v>
      </c>
      <c r="L563" s="13">
        <f t="shared" ref="L563" si="608">IFERROR(L168/L396,"-")</f>
        <v>0.15000000000000002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0.42</v>
      </c>
      <c r="L564" s="13">
        <f t="shared" ref="L564" si="610">IFERROR(L170/SUM(L398,L439),"-")</f>
        <v>0.41999999999999982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>
        <f t="shared" si="611"/>
        <v>0.49500000000000016</v>
      </c>
      <c r="J565" s="13">
        <f t="shared" si="611"/>
        <v>0.5225000000000003</v>
      </c>
      <c r="K565" s="13">
        <f t="shared" si="611"/>
        <v>0.55000000000000004</v>
      </c>
      <c r="L565" s="13">
        <f t="shared" ref="L565" si="612">IFERROR(L171/SUM(L399,L519),"-")</f>
        <v>0.60000000000000064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 t="str">
        <f t="shared" si="613"/>
        <v>-</v>
      </c>
      <c r="J566" s="13">
        <f t="shared" si="613"/>
        <v>0.50749729067934157</v>
      </c>
      <c r="K566" s="13">
        <f t="shared" si="613"/>
        <v>0.54</v>
      </c>
      <c r="L566" s="13">
        <f t="shared" ref="L566" si="614">IFERROR(L172/SUM(L400,L520),"-")</f>
        <v>0.5749997941651056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0.69997074295210182</v>
      </c>
      <c r="G567" s="13">
        <f t="shared" si="615"/>
        <v>0.69974874612911608</v>
      </c>
      <c r="H567" s="13">
        <f t="shared" si="615"/>
        <v>0.69999036556641259</v>
      </c>
      <c r="I567" s="13">
        <f t="shared" si="615"/>
        <v>0.69999067522275626</v>
      </c>
      <c r="J567" s="13">
        <f t="shared" si="615"/>
        <v>0.69995080678804411</v>
      </c>
      <c r="K567" s="13">
        <f t="shared" si="615"/>
        <v>0.69982736191361417</v>
      </c>
      <c r="L567" s="13">
        <f t="shared" ref="L567" si="616">IFERROR(L174/L402,"-")</f>
        <v>0.69999704283098185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0.86568591036595399</v>
      </c>
      <c r="G568" s="13">
        <f t="shared" si="615"/>
        <v>0.8657857839376103</v>
      </c>
      <c r="H568" s="13">
        <f t="shared" si="615"/>
        <v>0.86703171395199541</v>
      </c>
      <c r="I568" s="13">
        <f t="shared" si="615"/>
        <v>0.86703383572416659</v>
      </c>
      <c r="J568" s="13">
        <f t="shared" si="615"/>
        <v>0.86703182238105037</v>
      </c>
      <c r="K568" s="13">
        <f t="shared" si="615"/>
        <v>0.86703418099152751</v>
      </c>
      <c r="L568" s="13">
        <f t="shared" ref="L568" si="617">IFERROR(L175/L403,"-")</f>
        <v>0.86703750470374108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0.89404937227349168</v>
      </c>
      <c r="G569" s="13">
        <f t="shared" si="615"/>
        <v>0.8942268556362819</v>
      </c>
      <c r="H569" s="13">
        <f t="shared" si="615"/>
        <v>0.89424419729229954</v>
      </c>
      <c r="I569" s="13">
        <f t="shared" si="615"/>
        <v>0.89425677147455596</v>
      </c>
      <c r="J569" s="13">
        <f t="shared" si="615"/>
        <v>0.89426408827897119</v>
      </c>
      <c r="K569" s="13">
        <f t="shared" si="615"/>
        <v>0.89426756203711488</v>
      </c>
      <c r="L569" s="13">
        <f t="shared" ref="L569" si="618">IFERROR(L176/L404,"-")</f>
        <v>0.89426897230427427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0.90185543894771869</v>
      </c>
      <c r="G570" s="13">
        <f t="shared" si="615"/>
        <v>0.9019772653261825</v>
      </c>
      <c r="H570" s="13">
        <f t="shared" si="615"/>
        <v>0.90426359300110593</v>
      </c>
      <c r="I570" s="13">
        <f t="shared" si="615"/>
        <v>0.9042683461301414</v>
      </c>
      <c r="J570" s="13">
        <f t="shared" si="615"/>
        <v>0.90426854503597387</v>
      </c>
      <c r="K570" s="13">
        <f t="shared" si="615"/>
        <v>0.90426795057127107</v>
      </c>
      <c r="L570" s="13">
        <f t="shared" ref="L570" si="619">IFERROR(L177/L405,"-")</f>
        <v>0.90426934797168124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0.90187358079659929</v>
      </c>
      <c r="G571" s="13">
        <f t="shared" si="615"/>
        <v>0.90199816305327685</v>
      </c>
      <c r="H571" s="13">
        <f t="shared" si="615"/>
        <v>0.90426443904262865</v>
      </c>
      <c r="I571" s="13">
        <f t="shared" si="615"/>
        <v>0.90426838919518493</v>
      </c>
      <c r="J571" s="13">
        <f t="shared" si="615"/>
        <v>0.90426879670828264</v>
      </c>
      <c r="K571" s="13">
        <f t="shared" si="615"/>
        <v>0.90426777216744392</v>
      </c>
      <c r="L571" s="13">
        <f t="shared" ref="L571" si="620">IFERROR(L178/L406,"-")</f>
        <v>0.90426945263070135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0.90181420591787276</v>
      </c>
      <c r="G572" s="13">
        <f t="shared" si="615"/>
        <v>0.90194155237707041</v>
      </c>
      <c r="H572" s="13">
        <f t="shared" si="615"/>
        <v>0.90423688332583718</v>
      </c>
      <c r="I572" s="13">
        <f t="shared" si="615"/>
        <v>0.90424529590612823</v>
      </c>
      <c r="J572" s="13">
        <f t="shared" si="615"/>
        <v>0.904257954163731</v>
      </c>
      <c r="K572" s="13">
        <f t="shared" si="615"/>
        <v>0.90425232066874606</v>
      </c>
      <c r="L572" s="13">
        <f t="shared" ref="L572" si="621">IFERROR(L179/L407,"-")</f>
        <v>0.90426521923006409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0.90192385360503979</v>
      </c>
      <c r="G573" s="13">
        <f t="shared" si="615"/>
        <v>0.90204603438298725</v>
      </c>
      <c r="H573" s="13">
        <f t="shared" si="615"/>
        <v>0.90426501892457023</v>
      </c>
      <c r="I573" s="13">
        <f t="shared" si="615"/>
        <v>0.90426892849325591</v>
      </c>
      <c r="J573" s="13">
        <f t="shared" si="615"/>
        <v>0.90426915514553885</v>
      </c>
      <c r="K573" s="13">
        <f t="shared" si="615"/>
        <v>0.90426871745044446</v>
      </c>
      <c r="L573" s="13">
        <f t="shared" ref="L573" si="622">IFERROR(L180/L408,"-")</f>
        <v>0.9042694961687967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0.59933772940855412</v>
      </c>
      <c r="G575" s="4">
        <f t="shared" ref="G575:K575" si="623">IFERROR(G212/G442,"-")</f>
        <v>0.42528876946994032</v>
      </c>
      <c r="H575" s="4">
        <f t="shared" si="623"/>
        <v>0.3810368317738177</v>
      </c>
      <c r="I575" s="4">
        <f t="shared" si="623"/>
        <v>0.38083293048419881</v>
      </c>
      <c r="J575" s="4">
        <f t="shared" si="623"/>
        <v>0.38083293048419908</v>
      </c>
      <c r="K575" s="4">
        <f t="shared" si="623"/>
        <v>0.38083293048419903</v>
      </c>
      <c r="L575" s="4">
        <f t="shared" ref="L575" si="624">IFERROR(L212/L442,"-")</f>
        <v>0.38083293048419881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>
        <f t="shared" si="625"/>
        <v>2</v>
      </c>
      <c r="L576" s="4">
        <f t="shared" ref="L576" si="626">IFERROR(L218/L448,"-")</f>
        <v>23.115913130522955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0.85445501111132538</v>
      </c>
      <c r="G577" s="4">
        <f t="shared" ref="G577:K577" si="627">IFERROR(G220/G450,"-")</f>
        <v>0.85445501111132494</v>
      </c>
      <c r="H577" s="4">
        <f t="shared" si="627"/>
        <v>0.8544550111113256</v>
      </c>
      <c r="I577" s="4">
        <f t="shared" si="627"/>
        <v>0.85445501111132482</v>
      </c>
      <c r="J577" s="4">
        <f t="shared" si="627"/>
        <v>0.8544550111113246</v>
      </c>
      <c r="K577" s="4">
        <f t="shared" si="627"/>
        <v>0.8544550111113236</v>
      </c>
      <c r="L577" s="4">
        <f t="shared" ref="L577" si="628">IFERROR(L220/L450,"-")</f>
        <v>0.85445501111132482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0.70000000000000107</v>
      </c>
      <c r="G578" s="4">
        <f t="shared" ref="G578:K578" si="629">IFERROR(G226/G456,"-")</f>
        <v>0.69999999999999984</v>
      </c>
      <c r="H578" s="4">
        <f t="shared" si="629"/>
        <v>0.69999999999999984</v>
      </c>
      <c r="I578" s="4">
        <f t="shared" si="629"/>
        <v>0.69999999999999918</v>
      </c>
      <c r="J578" s="4">
        <f t="shared" si="629"/>
        <v>0.69999999999999984</v>
      </c>
      <c r="K578" s="4">
        <f t="shared" si="629"/>
        <v>0.70000000000000018</v>
      </c>
      <c r="L578" s="4">
        <f t="shared" ref="L578" si="630">IFERROR(L226/L456,"-")</f>
        <v>0.6999999999999994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>
        <f t="shared" si="631"/>
        <v>0.50000000000000022</v>
      </c>
      <c r="J579">
        <f t="shared" si="631"/>
        <v>0.50000000000000033</v>
      </c>
      <c r="K579">
        <f t="shared" si="631"/>
        <v>0.50000000000000011</v>
      </c>
      <c r="L579">
        <f t="shared" ref="L579" si="632">IFERROR(L228/L458,"-")</f>
        <v>0.5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>
        <f t="shared" si="633"/>
        <v>0.84999999999999976</v>
      </c>
      <c r="L580">
        <f t="shared" ref="L580" si="634">IFERROR(L230/L460,"-")</f>
        <v>0.84999999999999964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3.0000000000000031</v>
      </c>
      <c r="H581" s="4">
        <f t="shared" si="635"/>
        <v>3.0000000000000027</v>
      </c>
      <c r="I581" s="4">
        <f t="shared" si="635"/>
        <v>3.0000000000000027</v>
      </c>
      <c r="J581" s="4">
        <f t="shared" si="635"/>
        <v>3.0000000000000013</v>
      </c>
      <c r="K581" s="4">
        <f t="shared" si="635"/>
        <v>2.9999999999999987</v>
      </c>
      <c r="L581" s="4">
        <f t="shared" ref="L581" si="636">IFERROR(L232/L462,"-")</f>
        <v>3.0000000000000027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0.65785016631984039</v>
      </c>
      <c r="G582" s="3">
        <f>[1]Other_transformation!C$5</f>
        <v>0.63740653135513703</v>
      </c>
      <c r="H582" s="3">
        <f>[1]Other_transformation!D$5</f>
        <v>0.63735186741482475</v>
      </c>
      <c r="I582" s="3">
        <f>[1]Other_transformation!E$5</f>
        <v>1.1874899853890362E-4</v>
      </c>
      <c r="J582" s="3">
        <f>[2]Other_transformation!F$5</f>
        <v>6.0078902008714536E-5</v>
      </c>
      <c r="K582" s="3">
        <f>[2]Other_transformation!G$5</f>
        <v>7.1937916567947028E-5</v>
      </c>
      <c r="L582" s="3">
        <f>[2]Other_transformation!H$5</f>
        <v>1.2734224388358151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0.65785016631984039</v>
      </c>
      <c r="G583" s="1">
        <f t="shared" ref="G583:K583" si="637">G582</f>
        <v>0.63740653135513703</v>
      </c>
      <c r="H583" s="1">
        <f t="shared" si="637"/>
        <v>0.63735186741482475</v>
      </c>
      <c r="I583" s="1">
        <f t="shared" si="637"/>
        <v>1.1874899853890362E-4</v>
      </c>
      <c r="J583" s="1">
        <f t="shared" si="637"/>
        <v>6.0078902008714536E-5</v>
      </c>
      <c r="K583" s="1">
        <f t="shared" si="637"/>
        <v>7.1937916567947028E-5</v>
      </c>
      <c r="L583" s="1">
        <f t="shared" ref="L583" si="638">L582</f>
        <v>1.2734224388358151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0.65785016631984039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0.63740653135513703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0.63735186741482475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1.1874899853890362E-4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6.0078902008714536E-5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7.1937916567947028E-5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1.2734224388358151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0.25656156486473763</v>
      </c>
      <c r="G586" s="3">
        <f t="shared" ref="G586:L586" si="639">G587</f>
        <v>0.2485885472285031</v>
      </c>
      <c r="H586" s="3">
        <f t="shared" si="639"/>
        <v>0.24856722829178118</v>
      </c>
      <c r="I586" s="3">
        <f t="shared" si="639"/>
        <v>4.6312109430172423E-5</v>
      </c>
      <c r="J586" s="3">
        <f t="shared" si="639"/>
        <v>2.3430771783398632E-5</v>
      </c>
      <c r="K586" s="3">
        <f t="shared" si="639"/>
        <v>2.8055787461499326E-5</v>
      </c>
      <c r="L586" s="3">
        <f t="shared" si="639"/>
        <v>0.49663475114596767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0.25656156486473763</v>
      </c>
      <c r="G587" s="1">
        <f t="shared" ref="G587:K587" si="640">SUM(G588:G589)</f>
        <v>0.2485885472285031</v>
      </c>
      <c r="H587" s="1">
        <f t="shared" si="640"/>
        <v>0.24856722829178118</v>
      </c>
      <c r="I587" s="1">
        <f t="shared" si="640"/>
        <v>4.6312109430172423E-5</v>
      </c>
      <c r="J587" s="1">
        <f t="shared" si="640"/>
        <v>2.3430771783398632E-5</v>
      </c>
      <c r="K587" s="1">
        <f t="shared" si="640"/>
        <v>2.8055787461499326E-5</v>
      </c>
      <c r="L587" s="1">
        <f t="shared" ref="L587" si="641">SUM(L588:L589)</f>
        <v>0.49663475114596767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0.25656156486473763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0.2485885472285031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0.24856722829178118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4.6312109430172423E-5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2.3430771783398632E-5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2.8055787461499326E-5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0.49663475114596767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1.9202646354876129</v>
      </c>
      <c r="G590" s="3">
        <f t="shared" ref="G590:K590" si="642">G591+G594</f>
        <v>1.8605896650256433</v>
      </c>
      <c r="H590" s="3">
        <f t="shared" si="642"/>
        <v>1.8604301009838724</v>
      </c>
      <c r="I590" s="3">
        <f t="shared" si="642"/>
        <v>3.4662832673505961E-4</v>
      </c>
      <c r="J590" s="3">
        <f t="shared" si="642"/>
        <v>1.7537031496343746E-4</v>
      </c>
      <c r="K590" s="3">
        <f t="shared" si="642"/>
        <v>2.0998677846183745E-4</v>
      </c>
      <c r="L590" s="3">
        <f t="shared" ref="L590" si="643">L591+L594</f>
        <v>3.7171200989617459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1.874544048928384</v>
      </c>
      <c r="G591" s="1">
        <f t="shared" ref="G591:K591" si="644">SUM(G592:G593)</f>
        <v>1.8162899110964612</v>
      </c>
      <c r="H591" s="1">
        <f t="shared" si="644"/>
        <v>1.8161341461985421</v>
      </c>
      <c r="I591" s="1">
        <f t="shared" si="644"/>
        <v>3.3837527133660582E-4</v>
      </c>
      <c r="J591" s="1">
        <f t="shared" si="644"/>
        <v>1.7119483127383181E-4</v>
      </c>
      <c r="K591" s="1">
        <f t="shared" si="644"/>
        <v>2.0498709326036512E-4</v>
      </c>
      <c r="L591" s="1">
        <f t="shared" ref="L591" si="645">SUM(L592:L593)</f>
        <v>3.6286172394626566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1.874544048928384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1.8162899110964612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1.8161341461985421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3.3837527133660582E-4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1.7119483127383181E-4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2.0498709326036512E-4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3.6286172394626566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4.57205865592289E-2</v>
      </c>
      <c r="G594" s="1">
        <f t="shared" ref="G594:K594" si="646">SUM(G595:G596)</f>
        <v>4.4299753929182013E-2</v>
      </c>
      <c r="H594" s="1">
        <f t="shared" si="646"/>
        <v>4.4295954785330285E-2</v>
      </c>
      <c r="I594" s="1">
        <f t="shared" si="646"/>
        <v>8.2530553984537979E-6</v>
      </c>
      <c r="J594" s="1">
        <f t="shared" si="646"/>
        <v>4.175483689605657E-6</v>
      </c>
      <c r="K594" s="1">
        <f t="shared" si="646"/>
        <v>4.999685201472318E-6</v>
      </c>
      <c r="L594" s="1">
        <f t="shared" ref="L594" si="647">SUM(L595:L596)</f>
        <v>8.8502859499089134E-2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4.57205865592289E-2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4.4299753929182013E-2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4.4295954785330285E-2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8.2530553984537979E-6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4.175483689605657E-6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4.999685201472318E-6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8.8502859499089134E-2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48">IFERROR(SUM(G584,G588)/SUM(G592,G595),"-")</f>
        <v>0.47619047619047644</v>
      </c>
      <c r="H598" s="4">
        <f t="shared" si="648"/>
        <v>0.47619047619047616</v>
      </c>
      <c r="I598" s="4">
        <f t="shared" si="648"/>
        <v>0.47619047619047633</v>
      </c>
      <c r="J598" s="4">
        <f t="shared" si="648"/>
        <v>0.47619047619047672</v>
      </c>
      <c r="K598" s="4">
        <f t="shared" si="648"/>
        <v>0.47619047619047594</v>
      </c>
      <c r="L598" s="4">
        <f t="shared" ref="L598" si="649">IFERROR(SUM(L584,L588)/SUM(L592,L595),"-")</f>
        <v>0.47619047619047594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0.20820904104081045</v>
      </c>
      <c r="G600" s="1">
        <f>[1]Other_transformation!C$12</f>
        <v>6.5304330161327189E-5</v>
      </c>
      <c r="H600" s="1">
        <f>[1]Other_transformation!D$12</f>
        <v>0.208142764951007</v>
      </c>
      <c r="I600" s="1">
        <f>[1]Other_transformation!E$12</f>
        <v>8.9822429029535092E-5</v>
      </c>
      <c r="J600" s="1">
        <f>[2]Other_transformation!F$12</f>
        <v>5.101531826606251E-5</v>
      </c>
      <c r="K600" s="1">
        <f>[2]Other_transformation!G$12</f>
        <v>2.8832602208483612E-5</v>
      </c>
      <c r="L600" s="1">
        <f>[2]Other_transformation!H$12</f>
        <v>2.1509983128217614E-3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0.20820904104081045</v>
      </c>
      <c r="G601" s="1">
        <f t="shared" ref="G601:K601" si="651">SUM(G602:G603)</f>
        <v>6.5304330161327189E-5</v>
      </c>
      <c r="H601" s="1">
        <f t="shared" si="651"/>
        <v>0.208142764951007</v>
      </c>
      <c r="I601" s="1">
        <f t="shared" si="651"/>
        <v>8.9822429029535092E-5</v>
      </c>
      <c r="J601" s="1">
        <f t="shared" si="651"/>
        <v>5.101531826606251E-5</v>
      </c>
      <c r="K601" s="1">
        <f t="shared" si="651"/>
        <v>2.8832602208483612E-5</v>
      </c>
      <c r="L601" s="1">
        <f t="shared" ref="L601" si="652">SUM(L602:L603)</f>
        <v>2.1509983128217614E-3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0.20820904104081045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6.5304330161327189E-5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0.208142764951007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8.9822429029535092E-5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5.101531826606251E-5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2.8832602208483612E-5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2.1509983128217614E-3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0.77661972308222282</v>
      </c>
      <c r="G604" s="3">
        <f t="shared" ref="G604:K604" si="654">G605+G608</f>
        <v>2.4358515150175032E-4</v>
      </c>
      <c r="H604" s="3">
        <f t="shared" si="654"/>
        <v>0.77637251326725598</v>
      </c>
      <c r="I604" s="3">
        <f t="shared" si="654"/>
        <v>3.3503766028016621E-4</v>
      </c>
      <c r="J604" s="3">
        <f t="shared" si="654"/>
        <v>1.9028713713241315E-4</v>
      </c>
      <c r="K604" s="3">
        <f t="shared" si="654"/>
        <v>1.0754560623764379E-4</v>
      </c>
      <c r="L604" s="3">
        <f t="shared" ref="L604" si="655">L605+L608</f>
        <v>8.0232237068251742E-3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0.43515689577529387</v>
      </c>
      <c r="G605" s="1">
        <f t="shared" ref="G605:K605" si="656">SUM(G606:G607)</f>
        <v>1.3648605003717377E-4</v>
      </c>
      <c r="H605" s="1">
        <f t="shared" si="656"/>
        <v>0.43501837874760452</v>
      </c>
      <c r="I605" s="1">
        <f t="shared" si="656"/>
        <v>1.8772887667172847E-4</v>
      </c>
      <c r="J605" s="1">
        <f t="shared" si="656"/>
        <v>1.0662201517607062E-4</v>
      </c>
      <c r="K605" s="1">
        <f t="shared" si="656"/>
        <v>6.0260138615730699E-5</v>
      </c>
      <c r="L605" s="1">
        <f t="shared" ref="L605" si="657">SUM(L606:L607)</f>
        <v>4.4955864737974841E-3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0.43515689577529387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1.3648605003717377E-4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0.43501837874760452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1.8772887667172847E-4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1.0662201517607062E-4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6.0260138615730699E-5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4.4955864737974841E-3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0.34146282730692895</v>
      </c>
      <c r="G608" s="1">
        <f t="shared" ref="G608:K608" si="658">SUM(G609:G610)</f>
        <v>1.0709910146457655E-4</v>
      </c>
      <c r="H608" s="1">
        <f t="shared" si="658"/>
        <v>0.34135413451965146</v>
      </c>
      <c r="I608" s="1">
        <f t="shared" si="658"/>
        <v>1.4730878360843771E-4</v>
      </c>
      <c r="J608" s="1">
        <f t="shared" si="658"/>
        <v>8.3665121956342533E-5</v>
      </c>
      <c r="K608" s="1">
        <f t="shared" si="658"/>
        <v>4.728546762191308E-5</v>
      </c>
      <c r="L608" s="1">
        <f t="shared" ref="L608" si="659">SUM(L609:L610)</f>
        <v>3.5276372330276897E-3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0.34146282730692895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1.0709910146457655E-4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0.34135413451965146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1.4730878360843771E-4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8.3665121956342533E-5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4.728546762191308E-5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3.5276372330276897E-3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60">IFERROR(G602/SUM(G606,G609),"-")</f>
        <v>0.26809651474530843</v>
      </c>
      <c r="H612">
        <f t="shared" si="660"/>
        <v>0.26809651474530838</v>
      </c>
      <c r="I612">
        <f t="shared" si="660"/>
        <v>0.26809651474530805</v>
      </c>
      <c r="J612">
        <f t="shared" si="660"/>
        <v>0.26809651474530832</v>
      </c>
      <c r="K612">
        <f t="shared" si="660"/>
        <v>0.26809651474530855</v>
      </c>
      <c r="L612">
        <f t="shared" ref="L612" si="661">IFERROR(L602/SUM(L606,L609),"-")</f>
        <v>0.26809651474530816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6.957417874405686</v>
      </c>
      <c r="G614" s="3">
        <f t="shared" ref="G614" si="663">G615+G616+G621</f>
        <v>9.4223181413143546</v>
      </c>
      <c r="H614" s="3">
        <f t="shared" ref="H614" si="664">H615+H616+H621</f>
        <v>10.184807872846209</v>
      </c>
      <c r="I614" s="3">
        <f t="shared" ref="I614" si="665">I615+I616+I621</f>
        <v>11.306288790868985</v>
      </c>
      <c r="J614" s="3">
        <f t="shared" ref="J614" si="666">J615+J616+J621</f>
        <v>12.126393617281982</v>
      </c>
      <c r="K614" s="3">
        <f t="shared" ref="K614:L614" si="667">K615+K616+K621</f>
        <v>12.555501546244566</v>
      </c>
      <c r="L614" s="3">
        <f t="shared" si="667"/>
        <v>16.636140734985556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1.3280041780781218</v>
      </c>
      <c r="G615" s="1">
        <f>[1]Other_transformation!C$19</f>
        <v>3.5327755825776403</v>
      </c>
      <c r="H615" s="1">
        <f>[1]Other_transformation!D$19</f>
        <v>4.3846776129547322</v>
      </c>
      <c r="I615" s="1">
        <f>[1]Other_transformation!E$19</f>
        <v>4.384762796229694</v>
      </c>
      <c r="J615" s="1">
        <f>[2]Other_transformation!F$19</f>
        <v>4.384765413699502</v>
      </c>
      <c r="K615" s="1">
        <f>[2]Other_transformation!G$19</f>
        <v>5.1165389241708015</v>
      </c>
      <c r="L615" s="1">
        <f>[2]Other_transformation!H$19</f>
        <v>9.3766073833796444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5.6294136963275641</v>
      </c>
      <c r="G616" s="1">
        <f>[1]Other_transformation!C$20</f>
        <v>5.8893831489002038</v>
      </c>
      <c r="H616" s="1">
        <f>[1]Other_transformation!D$20</f>
        <v>5.8000306187092692</v>
      </c>
      <c r="I616" s="1">
        <f>[1]Other_transformation!E$20</f>
        <v>6.921135560652659</v>
      </c>
      <c r="J616" s="1">
        <f>[2]Other_transformation!F$20</f>
        <v>7.7412408239987913</v>
      </c>
      <c r="K616" s="1">
        <f>[2]Other_transformation!G$20</f>
        <v>7.43856187327901</v>
      </c>
      <c r="L616" s="1">
        <f>[2]Other_transformation!H$20</f>
        <v>7.2591309994282387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5.6294136963275641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5.8893831489002038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5.8000306187092692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6.921135560652659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7.7412408239987913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7.4382690488944387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7.2588319539286807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2.9282438457152926E-4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2.9904549955803644E-4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1.5940983651117007E-4</v>
      </c>
      <c r="H621" s="1">
        <f>[1]Other_transformation!D$21</f>
        <v>9.9641182208741425E-5</v>
      </c>
      <c r="I621" s="1">
        <f>[1]Other_transformation!E$21</f>
        <v>3.9043398663249937E-4</v>
      </c>
      <c r="J621" s="1">
        <f>[2]Other_transformation!F$21</f>
        <v>3.8737958368957316E-4</v>
      </c>
      <c r="K621" s="1">
        <f>[2]Other_transformation!G$21</f>
        <v>4.0074879475545056E-4</v>
      </c>
      <c r="L621" s="1">
        <f>[2]Other_transformation!H$21</f>
        <v>4.0235217767192895E-4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1.5940983651117007E-4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9.9641182208741425E-5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3.9043398663249937E-4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3.8737958368957316E-4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4.0074879475545056E-4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4.0235217767192895E-4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0.1125882739265512</v>
      </c>
      <c r="G624" s="3">
        <f t="shared" ref="G624" si="668">G625+G626+G631</f>
        <v>0.11779403937146456</v>
      </c>
      <c r="H624" s="3">
        <f t="shared" ref="H624" si="669">H625+H626+H631</f>
        <v>0.11600459802147386</v>
      </c>
      <c r="I624" s="3">
        <f t="shared" ref="I624" si="670">I625+I626+I631</f>
        <v>0.1384383285725185</v>
      </c>
      <c r="J624" s="3">
        <f t="shared" ref="J624" si="671">J625+J626+J631</f>
        <v>0.15484031166332329</v>
      </c>
      <c r="K624" s="3">
        <f t="shared" ref="K624:L624" si="672">K625+K626+K631</f>
        <v>0.14878141092967923</v>
      </c>
      <c r="L624" s="3">
        <f t="shared" si="672"/>
        <v>0.14519272395832086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0.1125882739265512</v>
      </c>
      <c r="G626" s="1">
        <f t="shared" ref="G626:K626" si="673">SUM(G627:G630)</f>
        <v>0.11778766297800411</v>
      </c>
      <c r="H626" s="1">
        <f t="shared" si="673"/>
        <v>0.11600061237418552</v>
      </c>
      <c r="I626" s="1">
        <f t="shared" si="673"/>
        <v>0.13842271121305322</v>
      </c>
      <c r="J626" s="1">
        <f t="shared" si="673"/>
        <v>0.1548248164799757</v>
      </c>
      <c r="K626" s="1">
        <f t="shared" si="673"/>
        <v>0.14876538097788899</v>
      </c>
      <c r="L626" s="1">
        <f t="shared" ref="L626" si="674">SUM(L627:L630)</f>
        <v>0.14517663907857356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0.1125882739265512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0.11778766297800411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0.11600061237418552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0.13842271121305322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0.1548248164799757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0.14876538097788899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0.14517663907857356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6.3763934604468176E-6</v>
      </c>
      <c r="H631" s="1">
        <f t="shared" si="675"/>
        <v>3.9856472883496586E-6</v>
      </c>
      <c r="I631" s="1">
        <f t="shared" si="675"/>
        <v>1.5617359465300001E-5</v>
      </c>
      <c r="J631" s="1">
        <f t="shared" si="675"/>
        <v>1.5495183347582949E-5</v>
      </c>
      <c r="K631" s="1">
        <f t="shared" si="675"/>
        <v>1.6029951790218063E-5</v>
      </c>
      <c r="L631" s="1">
        <f t="shared" ref="L631" si="676">SUM(L632:L633)</f>
        <v>1.6084879747314986E-5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6.3763934604468176E-6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3.9856472883496586E-6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1.5617359465300001E-5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1.5495183347582949E-5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1.6029951790218063E-5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1.6084879747314986E-5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1.9129180381340425E-5</v>
      </c>
      <c r="H634" s="3">
        <f t="shared" ref="H634" si="678">H635+H636+H641</f>
        <v>1.1956941865048968E-5</v>
      </c>
      <c r="I634" s="3">
        <f t="shared" ref="I634" si="679">I635+I636+I641</f>
        <v>4.6852078395899952E-5</v>
      </c>
      <c r="J634" s="3">
        <f t="shared" ref="J634" si="680">J635+J636+J641</f>
        <v>4.6485550042748849E-5</v>
      </c>
      <c r="K634" s="3">
        <f t="shared" ref="K634:L634" si="681">K635+K636+K641</f>
        <v>4.8089855370654102E-5</v>
      </c>
      <c r="L634" s="3">
        <f t="shared" si="681"/>
        <v>4.8282261320631512E-5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1.9129180381340425E-5</v>
      </c>
      <c r="H641" s="1">
        <f t="shared" ref="H641" si="688">SUM(H642:H643)</f>
        <v>1.1956941865048968E-5</v>
      </c>
      <c r="I641" s="1">
        <f t="shared" ref="I641" si="689">SUM(I642:I643)</f>
        <v>4.6852078395899952E-5</v>
      </c>
      <c r="J641" s="1">
        <f t="shared" ref="J641" si="690">SUM(J642:J643)</f>
        <v>4.6485550042748849E-5</v>
      </c>
      <c r="K641" s="1">
        <f t="shared" ref="K641:L641" si="691">SUM(K642:K643)</f>
        <v>4.8089855370654102E-5</v>
      </c>
      <c r="L641" s="1">
        <f t="shared" si="691"/>
        <v>4.8282261320631512E-5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1.9129180381340425E-5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1.1956941865048968E-5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4.6852078395899952E-5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4.6485550042748849E-5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4.8089855370654102E-5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4.8282261320631512E-5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13.477466699160363</v>
      </c>
      <c r="G644" s="3">
        <f t="shared" ref="G644" si="692">G645+G646+G651</f>
        <v>20.230327023760307</v>
      </c>
      <c r="H644" s="3">
        <f t="shared" ref="H644" si="693">H645+H646+H651</f>
        <v>22.513050849615741</v>
      </c>
      <c r="I644" s="3">
        <f t="shared" ref="I644" si="694">I645+I646+I651</f>
        <v>24.441346912815352</v>
      </c>
      <c r="J644" s="3">
        <f t="shared" ref="J644" si="695">J645+J646+J651</f>
        <v>25.851462696711302</v>
      </c>
      <c r="K644" s="3">
        <f t="shared" ref="K644:L644" si="696">K645+K646+K651</f>
        <v>27.423832979192717</v>
      </c>
      <c r="L644" s="3">
        <f t="shared" si="696"/>
        <v>39.299110556545784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3.798091949303426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10.103738166172031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12.540177973050511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12.540421597216916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12.540429083180546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14.633301323128478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26.81709711646576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9.6793747498569367</v>
      </c>
      <c r="G646" s="1">
        <f t="shared" ref="G646" si="697">SUM(G647:G650)</f>
        <v>10.126373654308987</v>
      </c>
      <c r="H646" s="1">
        <f t="shared" ref="H646" si="698">SUM(H647:H650)</f>
        <v>9.9727383609692488</v>
      </c>
      <c r="I646" s="1">
        <f t="shared" ref="I646" si="699">SUM(I647:I650)</f>
        <v>11.900398229716481</v>
      </c>
      <c r="J646" s="1">
        <f t="shared" ref="J646" si="700">SUM(J647:J650)</f>
        <v>13.310510651092775</v>
      </c>
      <c r="K646" s="1">
        <f t="shared" ref="K646:L646" si="701">SUM(K647:K650)</f>
        <v>12.78999064519132</v>
      </c>
      <c r="L646" s="1">
        <f t="shared" si="701"/>
        <v>12.481470264640167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9.6793747498569367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10.126373654308987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9.9727383609692488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11.900398229716481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13.310510651092775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12.789572324641933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12.481043056783657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4.1832054938789896E-4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4.2720785651148032E-4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2.1520327929007966E-4</v>
      </c>
      <c r="H651" s="1">
        <f t="shared" ref="H651" si="703">SUM(H652:H653)</f>
        <v>1.3451559598180095E-4</v>
      </c>
      <c r="I651" s="1">
        <f t="shared" ref="I651" si="704">SUM(I652:I653)</f>
        <v>5.2708588195387403E-4</v>
      </c>
      <c r="J651" s="1">
        <f t="shared" ref="J651" si="705">SUM(J652:J653)</f>
        <v>5.2296243798092396E-4</v>
      </c>
      <c r="K651" s="1">
        <f t="shared" ref="K651:L651" si="706">SUM(K652:K653)</f>
        <v>5.4101087291985844E-4</v>
      </c>
      <c r="L651" s="1">
        <f t="shared" si="706"/>
        <v>5.4317543985710442E-4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2.1520327929007966E-4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1.3451559598180095E-4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5.2708588195387403E-4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5.2296243798092396E-4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5.4101087291985844E-4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5.4317543985710442E-4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0.34965034965034986</v>
      </c>
      <c r="G655" s="4">
        <f t="shared" si="707"/>
        <v>0.34965034965035036</v>
      </c>
      <c r="H655" s="4">
        <f t="shared" si="707"/>
        <v>0.3496503496503503</v>
      </c>
      <c r="I655" s="4">
        <f t="shared" si="707"/>
        <v>0.34965034965034991</v>
      </c>
      <c r="J655" s="4">
        <f t="shared" si="707"/>
        <v>0.34965034965035047</v>
      </c>
      <c r="K655" s="4">
        <f t="shared" si="707"/>
        <v>0.34965034965034997</v>
      </c>
      <c r="L655" s="4">
        <f t="shared" ref="L655" si="708">IFERROR(SUM(L635,L625,L615)/L645,"-")</f>
        <v>0.34965034965034997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0.59322033898305093</v>
      </c>
      <c r="G656" s="4">
        <f t="shared" si="709"/>
        <v>0.59322033898305038</v>
      </c>
      <c r="H656" s="4">
        <f t="shared" si="709"/>
        <v>0.59322033898305104</v>
      </c>
      <c r="I656" s="4">
        <f t="shared" si="709"/>
        <v>0.59322033898305104</v>
      </c>
      <c r="J656" s="4">
        <f t="shared" si="709"/>
        <v>0.59322033898305104</v>
      </c>
      <c r="K656" s="4">
        <f t="shared" si="709"/>
        <v>0.59322033898305049</v>
      </c>
      <c r="L656" s="4">
        <f t="shared" ref="L656" si="710">IFERROR(SUM(L637,L627,L617)/L647,"-")</f>
        <v>0.59322033898305082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0.7</v>
      </c>
      <c r="L658" s="4">
        <f t="shared" ref="L658" si="712">IFERROR(SUM(L639,L629,L619)/L649,"-")</f>
        <v>0.70000000000000051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>
        <f t="shared" si="714"/>
        <v>0.85925925925925906</v>
      </c>
      <c r="H660" s="4">
        <f t="shared" si="714"/>
        <v>0.85925925925925906</v>
      </c>
      <c r="I660" s="4">
        <f t="shared" si="714"/>
        <v>0.8592592592592595</v>
      </c>
      <c r="J660" s="4">
        <f t="shared" si="714"/>
        <v>0.85925925925925917</v>
      </c>
      <c r="K660" s="4">
        <f t="shared" si="714"/>
        <v>0.85925925925925917</v>
      </c>
      <c r="L660" s="4">
        <f t="shared" ref="L660" si="715">IFERROR(SUM(L642,L632,L622)/L652,"-")</f>
        <v>0.85924230827273296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3.4656883188169522E-3</v>
      </c>
      <c r="G662" s="3">
        <f t="shared" ref="G662:K662" si="717">SUM(G663,G667,G676)</f>
        <v>5.5161528493874561E-3</v>
      </c>
      <c r="H662" s="3">
        <f t="shared" si="717"/>
        <v>5.5310075555088899E-3</v>
      </c>
      <c r="I662" s="3">
        <f t="shared" si="717"/>
        <v>0.10062960987523505</v>
      </c>
      <c r="J662" s="3">
        <f t="shared" si="717"/>
        <v>7.0081651207526221</v>
      </c>
      <c r="K662" s="3">
        <f t="shared" si="717"/>
        <v>7.0081688587846909</v>
      </c>
      <c r="L662" s="3">
        <f t="shared" ref="L662" si="718">SUM(L663,L667,L676)</f>
        <v>14.806604033331398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3.4656883188169522E-3</v>
      </c>
      <c r="G663" s="1">
        <f>[1]Other_transformation!C$28</f>
        <v>5.5161528493874561E-3</v>
      </c>
      <c r="H663" s="1">
        <f>[1]Other_transformation!D$28</f>
        <v>5.5310075555088899E-3</v>
      </c>
      <c r="I663" s="1">
        <f>[1]Other_transformation!E$28</f>
        <v>0.10062960987523505</v>
      </c>
      <c r="J663" s="1">
        <f>[2]Other_transformation!F$28</f>
        <v>7.0081651207526221</v>
      </c>
      <c r="K663" s="1">
        <f>[2]Other_transformation!G$28</f>
        <v>7.0081688587846909</v>
      </c>
      <c r="L663" s="1">
        <f>[2]Other_transformation!H$28</f>
        <v>14.805389453030594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3.4656883188169522E-3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5.5161528493874561E-3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5.5310075555088899E-3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0.10062698565545328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7.0081527548009612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3.6105632439231683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13.027030340987514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2.6242197817634044E-6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1.2365951661212822E-5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0.92616936621652246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0.97994685785546054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2.4714362486449994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0.79841225418761985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1.2145803008030214E-3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7.9652348670088895E-4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4.1805681410213253E-4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1.2145803008030214E-3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7.9652348670088895E-4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4.1805681410213253E-4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5.059399005572186E-3</v>
      </c>
      <c r="G679" s="3">
        <f t="shared" ref="G679:K679" si="735">SUM(G680,G684,G686,G695)</f>
        <v>7.9483470452268758E-3</v>
      </c>
      <c r="H679" s="3">
        <f t="shared" si="735"/>
        <v>7.8176785236874751E-3</v>
      </c>
      <c r="I679" s="3">
        <f t="shared" si="735"/>
        <v>0.13784878065100681</v>
      </c>
      <c r="J679" s="3">
        <f t="shared" si="735"/>
        <v>9.3131762402028162</v>
      </c>
      <c r="K679" s="3">
        <f t="shared" si="735"/>
        <v>8.6945798494941133</v>
      </c>
      <c r="L679" s="3">
        <f t="shared" ref="L679" si="736">SUM(L680,L684,L686,L695)</f>
        <v>17.970458174319333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5.059399005572186E-3</v>
      </c>
      <c r="G680" s="1">
        <f t="shared" ref="G680:K680" si="737">SUM(G681:G683)</f>
        <v>7.9483470452268758E-3</v>
      </c>
      <c r="H680" s="1">
        <f t="shared" si="737"/>
        <v>7.8176785236874751E-3</v>
      </c>
      <c r="I680" s="1">
        <f t="shared" si="737"/>
        <v>0.13784878065100681</v>
      </c>
      <c r="J680" s="1">
        <f t="shared" si="737"/>
        <v>9.3131762402028162</v>
      </c>
      <c r="K680" s="1">
        <f t="shared" si="737"/>
        <v>8.3252847778575045</v>
      </c>
      <c r="L680" s="1">
        <f t="shared" ref="L680" si="738">SUM(L681:L683)</f>
        <v>17.880091764971752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5.059399005572186E-3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7.9483470452268758E-3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7.8176785236874751E-3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0.13784518582938796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9.3131598070444621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4.6587912824815074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15.886622367057958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3.5948216188539758E-6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1.6433158353771187E-5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1.1950572467309968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1.1950571437261717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2.4714362486449994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0.79841225418761985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0.36929507163660941</v>
      </c>
      <c r="L684" s="1">
        <f t="shared" si="745"/>
        <v>8.8712472687513214E-2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0.36929507163660941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8.8712472687513214E-2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1.6539366600710021E-3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1.0480572193432734E-3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6.0587944072772887E-4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1.6539366600710021E-3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1.0480572193432734E-3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6.0587944072772887E-4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0.68500000000000094</v>
      </c>
      <c r="G699" s="4">
        <f t="shared" ref="G699:K699" si="762">IFERROR(G664/G681,"-")</f>
        <v>0.69400000000000051</v>
      </c>
      <c r="H699" s="4">
        <f t="shared" si="762"/>
        <v>0.70750000000000013</v>
      </c>
      <c r="I699" s="4">
        <f t="shared" si="762"/>
        <v>0.73000000000000054</v>
      </c>
      <c r="J699" s="4">
        <f t="shared" si="762"/>
        <v>0.75250000000000039</v>
      </c>
      <c r="K699" s="4">
        <f t="shared" si="762"/>
        <v>0.77500000000000002</v>
      </c>
      <c r="L699" s="4">
        <f t="shared" ref="L699" si="763">IFERROR(L664/L681,"-")</f>
        <v>0.81999999999999929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>
        <f t="shared" si="765"/>
        <v>0.73000000000000054</v>
      </c>
      <c r="J700" s="4">
        <f t="shared" si="765"/>
        <v>0.75250000000000028</v>
      </c>
      <c r="K700" s="4">
        <f t="shared" si="765"/>
        <v>0.77499999999999991</v>
      </c>
      <c r="L700" s="4">
        <f t="shared" ref="L700" si="766">IFERROR(L665/L682,"-")</f>
        <v>0.81999999999999984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>
        <f t="shared" si="767"/>
        <v>0.87</v>
      </c>
      <c r="L701" s="4">
        <f t="shared" ref="L701" si="768">IFERROR(L666/SUM(L683,L685),"-")</f>
        <v>0.9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>
        <f t="shared" ref="L702" si="770">IFERROR(L668/L687,"-")</f>
        <v>0.76000000000000112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>
        <f t="shared" ref="L703" si="771">IFERROR(L669/L688,"-")</f>
        <v>0.68999999999999939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1.1764740432569534</v>
      </c>
      <c r="G706" s="1">
        <f>[1]Other_transformation!C$39</f>
        <v>3.3031099116995577</v>
      </c>
      <c r="H706" s="1">
        <f>[1]Other_transformation!D$39</f>
        <v>2.4512106508180462</v>
      </c>
      <c r="I706" s="1">
        <f>[1]Other_transformation!E$39</f>
        <v>2.4511233110577977</v>
      </c>
      <c r="J706" s="1">
        <f>[2]Other_transformation!F$39</f>
        <v>2.7601913102491284</v>
      </c>
      <c r="K706" s="1">
        <f>[2]Other_transformation!G$39</f>
        <v>2.8155399739167191</v>
      </c>
      <c r="L706" s="1">
        <f>[2]Other_transformation!H$39</f>
        <v>3.1736234157674268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1.289073945014247</v>
      </c>
      <c r="G707" s="1">
        <f>[1]Other_transformation!C$38</f>
        <v>3.619249357089501</v>
      </c>
      <c r="H707" s="1">
        <f>[1]Other_transformation!D$38</f>
        <v>2.6858151285372931</v>
      </c>
      <c r="I707" s="1">
        <f>[1]Other_transformation!E$38</f>
        <v>2.685719429520431</v>
      </c>
      <c r="J707" s="1">
        <f>[2]Other_transformation!F$38</f>
        <v>3.0243682142333221</v>
      </c>
      <c r="K707" s="1">
        <f>[2]Other_transformation!G$38</f>
        <v>3.0850142783213372</v>
      </c>
      <c r="L707" s="1">
        <f>[2]Other_transformation!H$38</f>
        <v>3.4773697558403254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0.91265054871925977</v>
      </c>
      <c r="G708" s="14">
        <f t="shared" si="775"/>
        <v>0.91265054871925877</v>
      </c>
      <c r="H708" s="14">
        <f t="shared" si="775"/>
        <v>0.91265054871925844</v>
      </c>
      <c r="I708" s="14">
        <f t="shared" si="775"/>
        <v>0.91265054871925944</v>
      </c>
      <c r="J708" s="14">
        <f t="shared" si="775"/>
        <v>0.91265054871925955</v>
      </c>
      <c r="K708" s="14">
        <f t="shared" si="775"/>
        <v>0.91265054871925955</v>
      </c>
      <c r="L708" s="14">
        <f t="shared" ref="L708" si="776">L706/L707</f>
        <v>0.91265054871925844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5.979648742376809</v>
      </c>
      <c r="G709" s="17" cm="1">
        <f t="array" ref="G709">SUMPRODUCT(("CT_CWODPLT"=[1]OUT_SyntheticFuels!$C$4:$C$1000)*1,("Var_Fout"=[1]OUT_SyntheticFuels!$B$4:$B$1000)*1,[1]OUT_SyntheticFuels!F$4:F$1000)</f>
        <v>6.9696573841657754</v>
      </c>
      <c r="H709" s="17" cm="1">
        <f t="array" ref="H709">SUMPRODUCT(("CT_CWODPLT"=[1]OUT_SyntheticFuels!$C$4:$C$1000)*1,("Var_Fout"=[1]OUT_SyntheticFuels!$B$4:$B$1000)*1,[1]OUT_SyntheticFuels!G$4:G$1000)</f>
        <v>6.0060349937934179</v>
      </c>
      <c r="I709" s="17" cm="1">
        <f t="array" ref="I709">SUMPRODUCT(("CT_CWODPLT"=[1]OUT_SyntheticFuels!$C$4:$C$1000)*1,("Var_Fout"=[1]OUT_SyntheticFuels!$B$4:$B$1000)*1,[1]OUT_SyntheticFuels!H$4:H$1000)</f>
        <v>6.5144074692307017</v>
      </c>
      <c r="J709" s="17" cm="1">
        <f t="array" ref="J709">SUMPRODUCT(("CT_CWODPLT"=[2]OUT_SyntheticFuels!$C$4:$C$1000)*1,("Var_Fout"=[2]OUT_SyntheticFuels!$B$4:$B$1000)*1,[2]OUT_SyntheticFuels!I$4:I$1000)</f>
        <v>6.7083778847347704</v>
      </c>
      <c r="K709" s="17" cm="1">
        <f t="array" ref="K709">SUMPRODUCT(("CT_CWODPLT"=[2]OUT_SyntheticFuels!$C$4:$C$1000)*1,("Var_Fout"=[2]OUT_SyntheticFuels!$B$4:$B$1000)*1,[2]OUT_SyntheticFuels!J$4:J$1000)</f>
        <v>6.8842136065618291</v>
      </c>
      <c r="L709" s="17" cm="1">
        <f t="array" ref="L709">SUMPRODUCT(("CT_CWODPLT"=[2]OUT_SyntheticFuels!$C$4:$C$1000)*1,("Var_Fout"=[2]OUT_SyntheticFuels!$B$4:$B$1000)*1,[2]OUT_SyntheticFuels!K$4:K$1000)</f>
        <v>6.4379460823670707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5.979648742376809</v>
      </c>
      <c r="G710" s="18">
        <f t="shared" ref="G710:K710" si="777">G709</f>
        <v>6.9696573841657754</v>
      </c>
      <c r="H710" s="18">
        <f t="shared" si="777"/>
        <v>6.0060349937934179</v>
      </c>
      <c r="I710" s="18">
        <f t="shared" si="777"/>
        <v>6.5144074692307017</v>
      </c>
      <c r="J710" s="18">
        <f t="shared" si="777"/>
        <v>6.7083778847347704</v>
      </c>
      <c r="K710" s="18">
        <f t="shared" si="777"/>
        <v>6.8842136065618291</v>
      </c>
      <c r="L710" s="18">
        <f t="shared" ref="L710" si="778">L709</f>
        <v>6.4379460823670707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7.118629455210483</v>
      </c>
      <c r="G711" s="17" cm="1">
        <f t="array" ref="G711">SUMPRODUCT(("CT_CWODPLT"=[1]OUT_SyntheticFuels!$C$4:$C$1000)*1,("Var_Fin"=[1]OUT_SyntheticFuels!$B$4:$B$1000)*1,[1]OUT_SyntheticFuels!F$4:F$1000)</f>
        <v>8.2972111716259267</v>
      </c>
      <c r="H711" s="17" cm="1">
        <f t="array" ref="H711">SUMPRODUCT(("CT_CWODPLT"=[1]OUT_SyntheticFuels!$C$4:$C$1000)*1,("Var_Fin"=[1]OUT_SyntheticFuels!$B$4:$B$1000)*1,[1]OUT_SyntheticFuels!G$4:G$1000)</f>
        <v>7.1500416592778775</v>
      </c>
      <c r="I711" s="17" cm="1">
        <f t="array" ref="I711">SUMPRODUCT(("CT_CWODPLT"=[1]OUT_SyntheticFuels!$C$4:$C$1000)*1,("Var_Fin"=[1]OUT_SyntheticFuels!$B$4:$B$1000)*1,[1]OUT_SyntheticFuels!H$4:H$1000)</f>
        <v>7.7552469871793983</v>
      </c>
      <c r="J711" s="17" cm="1">
        <f t="array" ref="J711">SUMPRODUCT(("CT_CWODPLT"=[2]OUT_SyntheticFuels!$C$4:$C$1000)*1,("Var_Fin"=[2]OUT_SyntheticFuels!$B$4:$B$1000)*1,[2]OUT_SyntheticFuels!I$4:I$1000)</f>
        <v>7.9861641484937769</v>
      </c>
      <c r="K711" s="17" cm="1">
        <f t="array" ref="K711">SUMPRODUCT(("CT_CWODPLT"=[2]OUT_SyntheticFuels!$C$4:$C$1000)*1,("Var_Fin"=[2]OUT_SyntheticFuels!$B$4:$B$1000)*1,[2]OUT_SyntheticFuels!J$4:J$1000)</f>
        <v>8.1954923887640891</v>
      </c>
      <c r="L711" s="17" cm="1">
        <f t="array" ref="L711">SUMPRODUCT(("CT_CWODPLT"=[2]OUT_SyntheticFuels!$C$4:$C$1000)*1,("Var_Fin"=[2]OUT_SyntheticFuels!$B$4:$B$1000)*1,[2]OUT_SyntheticFuels!K$4:K$1000)</f>
        <v>7.6642215266274674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7.118629455210483</v>
      </c>
      <c r="G712" s="18">
        <f t="shared" si="779"/>
        <v>8.2972111716259267</v>
      </c>
      <c r="H712" s="18">
        <f t="shared" si="779"/>
        <v>7.1500416592778775</v>
      </c>
      <c r="I712" s="18">
        <f t="shared" si="779"/>
        <v>7.7552469871793983</v>
      </c>
      <c r="J712" s="18">
        <f t="shared" si="779"/>
        <v>7.9861641484937769</v>
      </c>
      <c r="K712" s="18">
        <f t="shared" si="779"/>
        <v>8.1954923887640891</v>
      </c>
      <c r="L712" s="18">
        <f t="shared" ref="L712" si="780">L711</f>
        <v>7.6642215266274674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0.84000000000000041</v>
      </c>
      <c r="G713" s="14">
        <f t="shared" si="781"/>
        <v>0.83999999999999964</v>
      </c>
      <c r="H713" s="14">
        <f t="shared" si="781"/>
        <v>0.84000000000000008</v>
      </c>
      <c r="I713" s="14">
        <f t="shared" si="781"/>
        <v>0.84000000000000097</v>
      </c>
      <c r="J713" s="14">
        <f t="shared" si="781"/>
        <v>0.83999999999999975</v>
      </c>
      <c r="K713" s="14">
        <f t="shared" si="781"/>
        <v>0.8399999999999993</v>
      </c>
      <c r="L713" s="14">
        <f t="shared" ref="L713" si="782">IFERROR(L709/L711,"-")</f>
        <v>0.83999999999999975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1.8986209891577446E-3</v>
      </c>
      <c r="L714" s="17">
        <f t="shared" ref="L714" si="784">L715+L717</f>
        <v>0.23163646233383484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1.8132547190014285E-4</v>
      </c>
      <c r="L715" s="18">
        <f t="shared" si="785"/>
        <v>3.5199090117536474E-3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1.8132547190014285E-4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3.5199090117536474E-3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1.7172955172576017E-3</v>
      </c>
      <c r="L717" s="18">
        <f t="shared" ref="L717" si="788">SUM(L718:L720)</f>
        <v>0.22811655332208119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8.7989831081308832E-4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6.4856215709633971E-2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7.2635215924952068E-4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0.16325884405212523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1.1104504719499259E-4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1.4935603219725714E-6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3.4206151867811458E-3</v>
      </c>
      <c r="L721" s="17">
        <f t="shared" si="790"/>
        <v>0.34962299249240325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3.4206151867811458E-3</v>
      </c>
      <c r="L722" s="18">
        <f t="shared" ref="L722" si="793">SUM(L723,L725)</f>
        <v>0.34962299249240325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2.354876258443417E-4</v>
      </c>
      <c r="L723" s="18">
        <f t="shared" si="795"/>
        <v>4.5713104048748735E-3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2.354876258443417E-4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4.5713104048748735E-3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3.1851275609368042E-3</v>
      </c>
      <c r="L725" s="18">
        <f t="shared" ref="L725" si="797">SUM(L726:L728)</f>
        <v>0.3450516820875284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1.9068349708625764E-3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0.11182218688314535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1.0376459417850298E-3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0.23322692007446499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2.4064664828919832E-4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2.5751299180393206E-6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>
        <f t="shared" si="799"/>
        <v>0.76999999999999891</v>
      </c>
      <c r="L730" s="14">
        <f t="shared" ref="L730" si="800">IFERROR(L716/L724,"-")</f>
        <v>0.76999999999999891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>
        <f t="shared" si="802"/>
        <v>0.46144439569149359</v>
      </c>
      <c r="L731" s="16">
        <f t="shared" ref="L731" si="803">IFERROR(L718/L726,"-")</f>
        <v>0.57999416321028474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>
        <f t="shared" si="804"/>
        <v>0.69999999999999984</v>
      </c>
      <c r="L732" s="16">
        <f t="shared" ref="L732" si="805">IFERROR(L719/L727,"-")</f>
        <v>0.69999999999999885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>
        <f t="shared" si="806"/>
        <v>0.46144439569149387</v>
      </c>
      <c r="L733" s="16">
        <f t="shared" ref="L733" si="807">IFERROR(L720/L728,"-")</f>
        <v>0.5799941632109008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1.5512957952440137E-4</v>
      </c>
      <c r="L734" s="17">
        <f t="shared" si="812"/>
        <v>1.700114349153313E-2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1.5512957952440137E-4</v>
      </c>
      <c r="L735" s="18">
        <f t="shared" si="817"/>
        <v>1.700114349153313E-2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1.2648173328383728E-4</v>
      </c>
      <c r="L736" s="18" cm="1">
        <f t="array" ref="L736"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2.8647664367984023E-5</v>
      </c>
      <c r="L737" s="18">
        <f>L735-L736-L738</f>
        <v>1.700114349153313E-2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1.8187258006093899E-10</v>
      </c>
      <c r="L738" s="18" cm="1">
        <f t="array" ref="L738"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1.0226756615168067E-5</v>
      </c>
      <c r="L739" s="18">
        <f t="shared" si="823"/>
        <v>1.9852286826290596E-4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1.0226756615168067E-5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1.9852286826290596E-4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1.449028229092333E-4</v>
      </c>
      <c r="L741" s="18">
        <f t="shared" si="830"/>
        <v>1.6802620623270224E-2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8.1067181951251729E-5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4.754008453150051E-3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5.3604789352614573E-5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1.2048502691046837E-2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1.0230851605366997E-5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1.0947907333556245E-7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8.3381770679971653E-6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8.3381770679971653E-6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1.1814355621584011E-4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6.6096470557490839E-5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4.3705569823756284E-5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8.3415158345929935E-6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1.888567557409717E-6</v>
      </c>
      <c r="L751" s="18">
        <f t="shared" ref="L751" si="846">IFERROR(L$737/L$735,0)*L739</f>
        <v>1.9852286826290596E-4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1.888567557409717E-6</v>
      </c>
      <c r="L752" s="18">
        <f t="shared" ref="L752" si="848">IFERROR(L$737/L$735,0)*L740</f>
        <v>1.9852286826290596E-4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2.6759096810574303E-5</v>
      </c>
      <c r="L753" s="18">
        <f t="shared" ref="L753" si="852">IFERROR(L$737/L$735,0)*L741</f>
        <v>1.6802620623270224E-2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1.4970616351296485E-5</v>
      </c>
      <c r="L754" s="18">
        <f t="shared" ref="L754" si="854">IFERROR(L$737/L$735,0)*L742</f>
        <v>4.754008453150051E-3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9.8991566830659319E-6</v>
      </c>
      <c r="L755" s="18">
        <f t="shared" ref="L755" si="856">IFERROR(L$737/L$735,0)*L743</f>
        <v>1.2048502691046837E-2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1.8893237762118871E-6</v>
      </c>
      <c r="L756" s="18">
        <f t="shared" ref="L756" si="858">IFERROR(L$737/L$735,0)*L744</f>
        <v>1.0947907333556245E-7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1.1989761185185996E-11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1.1989761185185996E-11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1.6988281887575299E-10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9.5042464402635556E-11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6.2845792356767401E-11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1.199456211635004E-11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142.21747231569131</v>
      </c>
      <c r="G763" s="17">
        <f t="shared" si="875"/>
        <v>142.38203408666604</v>
      </c>
      <c r="H763" s="17">
        <f t="shared" si="875"/>
        <v>147.2819083031282</v>
      </c>
      <c r="I763" s="17">
        <f t="shared" si="875"/>
        <v>144.69018135229624</v>
      </c>
      <c r="J763" s="17">
        <f t="shared" si="875"/>
        <v>146.72448711035727</v>
      </c>
      <c r="K763" s="17">
        <f t="shared" si="875"/>
        <v>147.73126878100263</v>
      </c>
      <c r="L763" s="17">
        <f t="shared" ref="L763" si="876">L764+L768+L778+L789+L791+L803+L805+L807+L811+L813+L815</f>
        <v>150.34855672603535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60.070028794928149</v>
      </c>
      <c r="G764" s="18">
        <f>[1]Industry!C$11</f>
        <v>61.543416348899427</v>
      </c>
      <c r="H764" s="18">
        <f>[1]Industry!D$11</f>
        <v>64.597402525070763</v>
      </c>
      <c r="I764" s="18">
        <f>[1]Industry!E$11</f>
        <v>66.913296269739504</v>
      </c>
      <c r="J764" s="18">
        <f>[2]Industry!F$11</f>
        <v>69.642074861211967</v>
      </c>
      <c r="K764" s="18">
        <f>[2]Industry!G$11</f>
        <v>70.092945912006229</v>
      </c>
      <c r="L764" s="18">
        <f>[2]Industry!H$11</f>
        <v>77.981125220559264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11.646955033815793</v>
      </c>
      <c r="G765" s="1">
        <f t="shared" si="878"/>
        <v>12.258978985464751</v>
      </c>
      <c r="H765" s="1">
        <f t="shared" si="878"/>
        <v>12.535511084347092</v>
      </c>
      <c r="I765" s="1">
        <f t="shared" si="878"/>
        <v>12.518942389803271</v>
      </c>
      <c r="J765" s="1">
        <f t="shared" si="878"/>
        <v>13.445073460309203</v>
      </c>
      <c r="K765" s="1">
        <f>K764-K766-K767</f>
        <v>13.427339192716197</v>
      </c>
      <c r="L765" s="1">
        <f>L764-L766-L767</f>
        <v>17.840504743643208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0.35967610894134722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0.45106405830813723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0.45555133801016678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1.8503496033251829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2.5652773268901514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2.5180471193196978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2.4284130809728781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48.833373305126543</v>
      </c>
      <c r="H767" s="1">
        <f>[1]Industry!D$11-[1]Industry!D$33</f>
        <v>51.606340102713503</v>
      </c>
      <c r="I767" s="1">
        <f>[1]Industry!E$11-[1]Industry!E$33</f>
        <v>52.544004276611048</v>
      </c>
      <c r="J767" s="1">
        <f>[2]Industry!F$11-[2]Industry!F$33</f>
        <v>53.63172407401261</v>
      </c>
      <c r="K767" s="1">
        <f>[2]Industry!G$11-[2]Industry!G$33</f>
        <v>54.147559599970329</v>
      </c>
      <c r="L767" s="1">
        <f>[2]Industry!H$11-[2]Industry!H$33</f>
        <v>57.712207395943182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11.627820652244251</v>
      </c>
      <c r="G768" s="1">
        <f t="shared" ref="G768:K768" si="879">SUM(G771,G776)</f>
        <v>10.510680507307132</v>
      </c>
      <c r="H768" s="1">
        <f t="shared" si="879"/>
        <v>8.2607757795874353</v>
      </c>
      <c r="I768" s="1">
        <f t="shared" si="879"/>
        <v>6.4577529886287621</v>
      </c>
      <c r="J768" s="1">
        <f t="shared" si="879"/>
        <v>4.9612821920776682</v>
      </c>
      <c r="K768" s="1">
        <f t="shared" si="879"/>
        <v>4.9417382887715879</v>
      </c>
      <c r="L768" s="1">
        <f t="shared" ref="L768" si="880">SUM(L771,L776)</f>
        <v>0.62259461869172605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8.8978144341716359</v>
      </c>
      <c r="G769" s="1">
        <f t="shared" ref="G769:K769" si="881">SUM(G773,G777)</f>
        <v>8.105527953944403</v>
      </c>
      <c r="H769" s="1">
        <f t="shared" si="881"/>
        <v>8.2567376645275097</v>
      </c>
      <c r="I769" s="1">
        <f t="shared" si="881"/>
        <v>6.4570313543237923</v>
      </c>
      <c r="J769" s="1">
        <f t="shared" si="881"/>
        <v>4.9607420472558452</v>
      </c>
      <c r="K769" s="1">
        <f t="shared" si="881"/>
        <v>4.9394368073730091</v>
      </c>
      <c r="L769" s="1">
        <f t="shared" ref="L769" si="882">SUM(L773,L777)</f>
        <v>0.62259461869172605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2.7300062180726159</v>
      </c>
      <c r="G770" s="1">
        <f t="shared" ref="G770:K770" si="883">G775</f>
        <v>2.4051525533627287</v>
      </c>
      <c r="H770" s="1">
        <f t="shared" si="883"/>
        <v>4.0381150599249392E-3</v>
      </c>
      <c r="I770" s="1">
        <f t="shared" si="883"/>
        <v>7.2163430496974355E-4</v>
      </c>
      <c r="J770" s="1">
        <f t="shared" si="883"/>
        <v>5.4014482182297154E-4</v>
      </c>
      <c r="K770" s="1">
        <f t="shared" si="883"/>
        <v>2.3014813985791248E-3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11.627820652244251</v>
      </c>
      <c r="G771" s="1">
        <f t="shared" ref="G771:K771" si="885">SUM(G772,G774)</f>
        <v>10.510680507307132</v>
      </c>
      <c r="H771" s="1">
        <f t="shared" si="885"/>
        <v>8.2607162318409877</v>
      </c>
      <c r="I771" s="1">
        <f t="shared" si="885"/>
        <v>5.3058162214960856</v>
      </c>
      <c r="J771" s="1">
        <f t="shared" si="885"/>
        <v>4.4107643028724146</v>
      </c>
      <c r="K771" s="1">
        <f t="shared" si="885"/>
        <v>4.3191423009393475</v>
      </c>
      <c r="L771" s="1">
        <f t="shared" ref="L771" si="886">SUM(L772,L774)</f>
        <v>3.1956622830231408E-6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8.8978144341716359</v>
      </c>
      <c r="G772" s="1">
        <f>[1]Industry!C$34</f>
        <v>8.105527953944403</v>
      </c>
      <c r="H772" s="1">
        <f>[1]Industry!D$34</f>
        <v>8.2566781167810621</v>
      </c>
      <c r="I772" s="1">
        <f>[1]Industry!E$34</f>
        <v>5.3050945871911157</v>
      </c>
      <c r="J772" s="1">
        <f>[2]Industry!F$34</f>
        <v>4.4102241580505916</v>
      </c>
      <c r="K772" s="1">
        <f>[2]Industry!G$34</f>
        <v>4.3168408195407686</v>
      </c>
      <c r="L772" s="1">
        <f>[2]Industry!H$34</f>
        <v>3.1956622830231408E-6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8.8978144341716359</v>
      </c>
      <c r="G773" s="1">
        <f t="shared" ref="G773:K773" si="887">G772</f>
        <v>8.105527953944403</v>
      </c>
      <c r="H773" s="1">
        <f t="shared" si="887"/>
        <v>8.2566781167810621</v>
      </c>
      <c r="I773" s="1">
        <f t="shared" si="887"/>
        <v>5.3050945871911157</v>
      </c>
      <c r="J773" s="1">
        <f t="shared" si="887"/>
        <v>4.4102241580505916</v>
      </c>
      <c r="K773" s="1">
        <f t="shared" si="887"/>
        <v>4.3168408195407686</v>
      </c>
      <c r="L773" s="1">
        <f t="shared" ref="L773" si="888">L772</f>
        <v>3.1956622830231408E-6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2.7300062180726159</v>
      </c>
      <c r="G774" s="1">
        <f>[1]Industry!C$35</f>
        <v>2.4051525533627287</v>
      </c>
      <c r="H774" s="1">
        <f>[1]Industry!D$35</f>
        <v>4.0381150599249392E-3</v>
      </c>
      <c r="I774" s="1">
        <f>[1]Industry!E$35</f>
        <v>7.2163430496974355E-4</v>
      </c>
      <c r="J774" s="1">
        <f>[2]Industry!F$35</f>
        <v>5.4014482182297154E-4</v>
      </c>
      <c r="K774" s="1">
        <f>[2]Industry!G$35</f>
        <v>2.3014813985791248E-3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2.7300062180726159</v>
      </c>
      <c r="G775" s="1">
        <f t="shared" ref="G775:K775" si="889">G774</f>
        <v>2.4051525533627287</v>
      </c>
      <c r="H775" s="1">
        <f t="shared" si="889"/>
        <v>4.0381150599249392E-3</v>
      </c>
      <c r="I775" s="1">
        <f t="shared" si="889"/>
        <v>7.2163430496974355E-4</v>
      </c>
      <c r="J775" s="1">
        <f t="shared" si="889"/>
        <v>5.4014482182297154E-4</v>
      </c>
      <c r="K775" s="1">
        <f t="shared" si="889"/>
        <v>2.3014813985791248E-3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5.9547746448404956E-5</v>
      </c>
      <c r="I776" s="1">
        <f>[1]Industry!E$36</f>
        <v>1.151936767132677</v>
      </c>
      <c r="J776" s="1">
        <f>[2]Industry!F$36</f>
        <v>0.55051788920525391</v>
      </c>
      <c r="K776" s="1">
        <f>[2]Industry!G$36</f>
        <v>0.62259598783224057</v>
      </c>
      <c r="L776" s="1">
        <f>[2]Industry!H$36</f>
        <v>0.62259142302944304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5.9547746448404956E-5</v>
      </c>
      <c r="I777" s="1">
        <f t="shared" si="891"/>
        <v>1.151936767132677</v>
      </c>
      <c r="J777" s="1">
        <f t="shared" si="891"/>
        <v>0.55051788920525391</v>
      </c>
      <c r="K777" s="1">
        <f t="shared" si="891"/>
        <v>0.62259598783224057</v>
      </c>
      <c r="L777" s="1">
        <f t="shared" ref="L777" si="892">L776</f>
        <v>0.62259142302944304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35.989094590067793</v>
      </c>
      <c r="G778" s="1">
        <f>SUM([1]Industry!C$37:C$39)</f>
        <v>32.761874767428296</v>
      </c>
      <c r="H778" s="1">
        <f>SUM([1]Industry!D$37:D$39)</f>
        <v>38.266527047694382</v>
      </c>
      <c r="I778" s="1">
        <f>SUM([1]Industry!E$37:E$39)</f>
        <v>32.113416593283837</v>
      </c>
      <c r="J778" s="1">
        <f>SUM([2]Industry!F$37:F$39)</f>
        <v>23.219956042892861</v>
      </c>
      <c r="K778" s="1">
        <f>SUM([2]Industry!G$37:G$39)</f>
        <v>18.531781906485914</v>
      </c>
      <c r="L778" s="1">
        <f>SUM([2]Industry!H$37:H$39)</f>
        <v>13.987082288861014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35.549231290349425</v>
      </c>
      <c r="G779" s="1">
        <f>SUM([1]Industry!C$37:C$38)-G780</f>
        <v>32.208896006649489</v>
      </c>
      <c r="H779" s="1">
        <f>SUM([1]Industry!D$37:D$38)-H780</f>
        <v>34.206299935947072</v>
      </c>
      <c r="I779" s="1">
        <f>SUM([1]Industry!E$37:E$38)-I780</f>
        <v>23.901653002020389</v>
      </c>
      <c r="J779" s="1">
        <f>SUM([2]Industry!F$37:F$38)-J780</f>
        <v>12.361802385916445</v>
      </c>
      <c r="K779" s="1">
        <f>SUM([2]Industry!G$37:G$38)-K780</f>
        <v>7.2444770840688424</v>
      </c>
      <c r="L779" s="1">
        <f>SUM([2]Industry!H$37:H$38)-L780</f>
        <v>2.1376606085520002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3.1336304625449673E-3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9.1107815124090864E-4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1.3874057178668395E-3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0.43986329971836824</v>
      </c>
      <c r="G781" s="1">
        <f t="shared" si="897"/>
        <v>0.55297876077880659</v>
      </c>
      <c r="H781" s="1">
        <f t="shared" si="897"/>
        <v>4.0602271117473094</v>
      </c>
      <c r="I781" s="1">
        <f t="shared" si="897"/>
        <v>8.2117635912634483</v>
      </c>
      <c r="J781" s="1">
        <f t="shared" si="897"/>
        <v>10.858153656976416</v>
      </c>
      <c r="K781" s="1">
        <f t="shared" si="897"/>
        <v>11.287304822417072</v>
      </c>
      <c r="L781" s="1">
        <f t="shared" ref="L781" si="898">L778-L779</f>
        <v>11.849421680309014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35.2432170380172</v>
      </c>
      <c r="G782" s="1">
        <f>[1]Industry!C$37</f>
        <v>32.209646085909888</v>
      </c>
      <c r="H782" s="1">
        <f>[1]Industry!D$37</f>
        <v>31.881265612377124</v>
      </c>
      <c r="I782" s="1">
        <f>[1]Industry!E$37</f>
        <v>21.643850214608488</v>
      </c>
      <c r="J782" s="1">
        <f>[2]Industry!F$37</f>
        <v>9.744754652853393</v>
      </c>
      <c r="K782" s="1">
        <f>[2]Industry!G$37</f>
        <v>5.1131824018737166</v>
      </c>
      <c r="L782" s="1">
        <f>[2]Industry!H$37</f>
        <v>2.9010630425758553E-4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35.24011065624051</v>
      </c>
      <c r="G783" s="1">
        <f>[1]Industry!C$37*G779/SUM(G779:G780)</f>
        <v>32.208735012312616</v>
      </c>
      <c r="H783" s="1">
        <f>[1]Industry!D$37*H779/SUM(H779:H780)</f>
        <v>31.879972562374601</v>
      </c>
      <c r="I783" s="1">
        <f>[1]Industry!E$37*I779/SUM(I779:I780)</f>
        <v>21.643850214608484</v>
      </c>
      <c r="J783" s="1">
        <f>[2]Industry!F$37*J779/SUM(J779:J780)</f>
        <v>9.744754652853393</v>
      </c>
      <c r="K783" s="1">
        <f>[2]Industry!G$37*K779/SUM(K779:K780)</f>
        <v>5.1131824018737166</v>
      </c>
      <c r="L783" s="1">
        <f>[2]Industry!H$37*L779/SUM(L779:L780)</f>
        <v>2.9010630425758553E-4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3.1063817766892043E-3</v>
      </c>
      <c r="G784" s="1">
        <f t="shared" ref="G784:K784" si="903">G782-G783</f>
        <v>9.1107359727260473E-4</v>
      </c>
      <c r="H784" s="1">
        <f t="shared" si="903"/>
        <v>1.2930500025234437E-3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0.74587755205059081</v>
      </c>
      <c r="G785" s="1">
        <f t="shared" ref="G785:K785" si="905">SUM(G786:G788)</f>
        <v>0.55222868151840443</v>
      </c>
      <c r="H785" s="1">
        <f t="shared" si="905"/>
        <v>6.385261435317255</v>
      </c>
      <c r="I785" s="1">
        <f t="shared" si="905"/>
        <v>10.469566378675347</v>
      </c>
      <c r="J785" s="1">
        <f t="shared" si="905"/>
        <v>13.475201390039466</v>
      </c>
      <c r="K785" s="1">
        <f t="shared" si="905"/>
        <v>13.418599504612198</v>
      </c>
      <c r="L785" s="1">
        <f t="shared" ref="L785" si="906">SUM(L786:L788)</f>
        <v>13.986792182556757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0.30912063410891721</v>
      </c>
      <c r="G786" s="1">
        <f>[1]Industry!C$38*G779/SUM(G779:G780)</f>
        <v>1.6099433686620084E-4</v>
      </c>
      <c r="H786" s="1">
        <f>[1]Industry!D$38*H779/SUM(H779:H780)</f>
        <v>2.3263273735724659</v>
      </c>
      <c r="I786" s="1">
        <f>[1]Industry!E$38*I779/SUM(I779:I780)</f>
        <v>2.2578027874118991</v>
      </c>
      <c r="J786" s="1">
        <f>[2]Industry!F$38*J779/SUM(J779:J780)</f>
        <v>2.6170477330630524</v>
      </c>
      <c r="K786" s="1">
        <f>[2]Industry!G$38*K779/SUM(K779:K780)</f>
        <v>2.1312946821951253</v>
      </c>
      <c r="L786" s="1">
        <f>[2]Industry!H$38*L779/SUM(L779:L780)</f>
        <v>2.1373705022477427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2.724868585013418E-5</v>
      </c>
      <c r="G787" s="1">
        <f>[1]Industry!C$38-G786</f>
        <v>4.5539723796421058E-9</v>
      </c>
      <c r="H787" s="1">
        <f>[1]Industry!D$38-H786</f>
        <v>9.4355715343663604E-5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0.43672966925582346</v>
      </c>
      <c r="G788" s="1">
        <f>[1]Industry!C$39</f>
        <v>0.55206768262756589</v>
      </c>
      <c r="H788" s="1">
        <f>[1]Industry!D$39</f>
        <v>4.0588397060294454</v>
      </c>
      <c r="I788" s="1">
        <f>[1]Industry!E$39</f>
        <v>8.2117635912634483</v>
      </c>
      <c r="J788" s="1">
        <f>[2]Industry!F$39</f>
        <v>10.858153656976414</v>
      </c>
      <c r="K788" s="1">
        <f>[2]Industry!G$39</f>
        <v>11.287304822417072</v>
      </c>
      <c r="L788" s="1">
        <f>[2]Industry!H$39</f>
        <v>11.849421680309014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3.5600063653327489</v>
      </c>
      <c r="G789" s="1">
        <f>[1]Industry!C$18</f>
        <v>3.4647179462125965</v>
      </c>
      <c r="H789" s="1">
        <f>[1]Industry!D$18</f>
        <v>2.9051390792505381E-2</v>
      </c>
      <c r="I789" s="1">
        <f>[1]Industry!E$18</f>
        <v>5.8653485837291939E-4</v>
      </c>
      <c r="J789" s="1">
        <f>[2]Industry!F$18</f>
        <v>2.6777993659226013E-4</v>
      </c>
      <c r="K789" s="1">
        <f>[2]Industry!G$18</f>
        <v>0.65156338870537378</v>
      </c>
      <c r="L789" s="1">
        <f>[2]Industry!H$18</f>
        <v>2.9640435687106753E-4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3.5600063653327489</v>
      </c>
      <c r="G790" s="1">
        <f t="shared" ref="G790:K790" si="909">G789</f>
        <v>3.4647179462125965</v>
      </c>
      <c r="H790" s="1">
        <f t="shared" si="909"/>
        <v>2.9051390792505381E-2</v>
      </c>
      <c r="I790" s="1">
        <f t="shared" si="909"/>
        <v>5.8653485837291939E-4</v>
      </c>
      <c r="J790" s="1">
        <f t="shared" si="909"/>
        <v>2.6777993659226013E-4</v>
      </c>
      <c r="K790" s="1">
        <f t="shared" si="909"/>
        <v>0.65156338870537378</v>
      </c>
      <c r="L790" s="1">
        <f t="shared" ref="L790" si="910">L789</f>
        <v>2.9640435687106753E-4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12.728647187497687</v>
      </c>
      <c r="G791" s="1">
        <f>[1]Industry!C$19</f>
        <v>13.638428268838041</v>
      </c>
      <c r="H791" s="1">
        <f>[1]Industry!D$19</f>
        <v>13.954531367051349</v>
      </c>
      <c r="I791" s="1">
        <f>[1]Industry!E$19</f>
        <v>14.264940871010776</v>
      </c>
      <c r="J791" s="1">
        <f>[2]Industry!F$19</f>
        <v>14.462859248265847</v>
      </c>
      <c r="K791" s="1">
        <f>[2]Industry!G$19</f>
        <v>14.863002235477179</v>
      </c>
      <c r="L791" s="1">
        <f>[2]Industry!H$19</f>
        <v>17.689478759133731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4.2974893447270919</v>
      </c>
      <c r="G792" s="1">
        <f t="shared" ref="G792:K792" si="913">SUM(G793:G801)</f>
        <v>5.8480759549931776</v>
      </c>
      <c r="H792" s="1">
        <f t="shared" si="913"/>
        <v>5.5152551906922955</v>
      </c>
      <c r="I792" s="1">
        <f t="shared" si="913"/>
        <v>5.9430116232050203</v>
      </c>
      <c r="J792" s="1">
        <f t="shared" si="913"/>
        <v>6.8566367204399983</v>
      </c>
      <c r="K792" s="1">
        <f t="shared" si="913"/>
        <v>7.6303451703053842</v>
      </c>
      <c r="L792" s="1">
        <f t="shared" ref="L792" si="914">SUM(L793:L801)</f>
        <v>7.5700911209427195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0.92913892525545705</v>
      </c>
      <c r="G793" s="1">
        <f t="shared" ref="G793:K793" si="917">G235</f>
        <v>2.069725559294302</v>
      </c>
      <c r="H793" s="1">
        <f t="shared" si="917"/>
        <v>1.4615311602964836</v>
      </c>
      <c r="I793" s="1">
        <f t="shared" si="917"/>
        <v>1.3081997356338326</v>
      </c>
      <c r="J793" s="1">
        <f t="shared" si="917"/>
        <v>0.84809259071704668</v>
      </c>
      <c r="K793" s="1">
        <f t="shared" si="917"/>
        <v>0</v>
      </c>
      <c r="L793" s="1">
        <f t="shared" ref="L793" si="918">L235</f>
        <v>0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0.77323268525507427</v>
      </c>
      <c r="G794" s="1">
        <f t="shared" ref="G794:K794" si="919">G241</f>
        <v>0.10289610885056202</v>
      </c>
      <c r="H794" s="1">
        <f t="shared" si="919"/>
        <v>0.60391520582834257</v>
      </c>
      <c r="I794" s="1">
        <f t="shared" si="919"/>
        <v>0.7253207766344294</v>
      </c>
      <c r="J794" s="1">
        <f t="shared" si="919"/>
        <v>0.15683406071291772</v>
      </c>
      <c r="K794" s="1">
        <f t="shared" si="919"/>
        <v>0.67893554767529563</v>
      </c>
      <c r="L794" s="1">
        <f t="shared" ref="L794" si="920">L241</f>
        <v>0.13160763431393308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7.8423526941463401E-2</v>
      </c>
      <c r="L795" s="1">
        <f t="shared" ref="L795" si="922">L242</f>
        <v>7.6105479360603495E-2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2.8652573710030916E-4</v>
      </c>
      <c r="J796" s="1">
        <f t="shared" si="923"/>
        <v>2.2011447353179867E-4</v>
      </c>
      <c r="K796" s="1">
        <f t="shared" si="923"/>
        <v>5.8069637379582677E-4</v>
      </c>
      <c r="L796" s="1">
        <f t="shared" ref="L796" si="924">L243</f>
        <v>3.3184620293539527E-4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1.9348329464724143</v>
      </c>
      <c r="G797" s="1">
        <f t="shared" ref="G797:K797" si="925">G274</f>
        <v>1.8587704969302237</v>
      </c>
      <c r="H797" s="1">
        <f t="shared" si="925"/>
        <v>9.6126317261569661E-3</v>
      </c>
      <c r="I797" s="1">
        <f t="shared" si="925"/>
        <v>8.8029153962608606E-3</v>
      </c>
      <c r="J797" s="1">
        <f t="shared" si="925"/>
        <v>3.5401615976331049E-3</v>
      </c>
      <c r="K797" s="1">
        <f t="shared" si="925"/>
        <v>1.5911389113570443E-2</v>
      </c>
      <c r="L797" s="1">
        <f t="shared" ref="L797" si="926">L274</f>
        <v>4.2452861577013667E-4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2.6182554465054839E-2</v>
      </c>
      <c r="L798" s="1">
        <f t="shared" ref="L798" si="928">L275</f>
        <v>0.98941788354357685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0.66028478774414656</v>
      </c>
      <c r="G799" s="1">
        <f t="shared" ref="G799:K799" si="929">G283</f>
        <v>1.8166837899180892</v>
      </c>
      <c r="H799" s="1">
        <f t="shared" si="929"/>
        <v>3.4401961928413129</v>
      </c>
      <c r="I799" s="1">
        <f t="shared" si="929"/>
        <v>3.8721735214540298</v>
      </c>
      <c r="J799" s="1">
        <f t="shared" si="929"/>
        <v>5.8455672293217704</v>
      </c>
      <c r="K799" s="1">
        <f t="shared" si="929"/>
        <v>5.1901023407022313</v>
      </c>
      <c r="L799" s="1">
        <f t="shared" ref="L799" si="930">L283</f>
        <v>1.8957119038810042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1.5256256068750587</v>
      </c>
      <c r="L800" s="1">
        <f t="shared" ref="L800" si="932">L284</f>
        <v>4.3697142467727552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2.8228148349367144E-2</v>
      </c>
      <c r="J801" s="1">
        <f t="shared" si="933"/>
        <v>2.3825636170990675E-3</v>
      </c>
      <c r="K801" s="1">
        <f t="shared" si="933"/>
        <v>0.11458350815891469</v>
      </c>
      <c r="L801" s="1">
        <f t="shared" ref="L801" si="934">L289</f>
        <v>0.1067775982521417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7.1200042364737479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7.6289071097869039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7.6289069305868145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7.6289095875995878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7.6289090443296024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7.6288652821313514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9.3326734851697584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9.0019102284991028</v>
      </c>
      <c r="G803" s="1">
        <f t="shared" ref="G803:L803" si="935">G804</f>
        <v>10.609944326334386</v>
      </c>
      <c r="H803" s="1">
        <f t="shared" si="935"/>
        <v>5.953150799990536</v>
      </c>
      <c r="I803" s="1">
        <f t="shared" si="935"/>
        <v>5.6453037729886955</v>
      </c>
      <c r="J803" s="1">
        <f t="shared" si="935"/>
        <v>6.2935711168209645</v>
      </c>
      <c r="K803" s="1">
        <f t="shared" si="935"/>
        <v>8.2407630281829398</v>
      </c>
      <c r="L803" s="1">
        <f t="shared" si="935"/>
        <v>7.5695386802965334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9.0019102284991028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10.609944326334386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5.953150799990536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5.6453037729886955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6.2935711168209645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8.2407630281829398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7.5695386802965334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0.62579068270623206</v>
      </c>
      <c r="G805" s="1">
        <f t="shared" ref="G805:L805" si="937">G806</f>
        <v>0.73757504239591842</v>
      </c>
      <c r="H805" s="1">
        <f t="shared" si="937"/>
        <v>4.1320262560192482</v>
      </c>
      <c r="I805" s="1">
        <f t="shared" si="937"/>
        <v>4.1204293641236873</v>
      </c>
      <c r="J805" s="1">
        <f t="shared" si="937"/>
        <v>4.1090092178506463</v>
      </c>
      <c r="K805" s="1">
        <f t="shared" si="937"/>
        <v>4.0975327302061189</v>
      </c>
      <c r="L805" s="1">
        <f t="shared" si="937"/>
        <v>4.0747699572268594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0.62579068270623206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0.73757504239591842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4.1320262560192482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4.1204293641236873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4.1090092178506463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4.0975327302061189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4.0747699572268594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7.7980479857986333</v>
      </c>
      <c r="G807" s="1">
        <f>[1]Industry!C$21</f>
        <v>8.0801715915375709</v>
      </c>
      <c r="H807" s="1">
        <f>[1]Industry!D$21</f>
        <v>11.020961760608442</v>
      </c>
      <c r="I807" s="1">
        <f>[1]Industry!E$21</f>
        <v>10.897032272286987</v>
      </c>
      <c r="J807" s="1">
        <f>[2]Industry!F$21</f>
        <v>10.78512350696119</v>
      </c>
      <c r="K807" s="1">
        <f>[2]Industry!G$21</f>
        <v>10.597038858866306</v>
      </c>
      <c r="L807" s="1">
        <f>[2]Industry!H$21</f>
        <v>5.3999807216763145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7.7980479857986333</v>
      </c>
      <c r="G808" s="1">
        <f t="shared" ref="G808:K808" si="939">G807</f>
        <v>8.0801715915375709</v>
      </c>
      <c r="H808" s="1">
        <f t="shared" si="939"/>
        <v>11.020961760608442</v>
      </c>
      <c r="I808" s="1">
        <f t="shared" si="939"/>
        <v>10.897032272286987</v>
      </c>
      <c r="J808" s="1">
        <f t="shared" si="939"/>
        <v>10.78512350696119</v>
      </c>
      <c r="K808" s="1">
        <f t="shared" si="939"/>
        <v>10.597038858866306</v>
      </c>
      <c r="L808" s="1">
        <f t="shared" ref="L808" si="940">L807</f>
        <v>5.3999807216763145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7.7980479857986333</v>
      </c>
      <c r="G810" s="1">
        <f t="shared" ref="G810:K810" si="941">G808</f>
        <v>8.0801715915375709</v>
      </c>
      <c r="H810" s="1">
        <f t="shared" si="941"/>
        <v>11.020961760608442</v>
      </c>
      <c r="I810" s="1">
        <f t="shared" si="941"/>
        <v>10.897032272286987</v>
      </c>
      <c r="J810" s="1">
        <f t="shared" si="941"/>
        <v>10.78512350696119</v>
      </c>
      <c r="K810" s="1">
        <f t="shared" si="941"/>
        <v>10.597038858866306</v>
      </c>
      <c r="L810" s="1">
        <f t="shared" ref="L810" si="942">L808</f>
        <v>5.3999807216763145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6.7646973880495023E-2</v>
      </c>
      <c r="G811" s="1">
        <f>[1]Industry!C$22</f>
        <v>8.5493008233653592E-2</v>
      </c>
      <c r="H811" s="1">
        <f>[1]Industry!D$22</f>
        <v>8.4165697869743025E-2</v>
      </c>
      <c r="I811" s="1">
        <f>[1]Industry!E$22</f>
        <v>8.6333798014645663E-2</v>
      </c>
      <c r="J811" s="1">
        <f>[2]Industry!F$22</f>
        <v>8.5977217459676014E-2</v>
      </c>
      <c r="K811" s="1">
        <f>[2]Industry!G$22</f>
        <v>5.941396318622888E-2</v>
      </c>
      <c r="L811" s="1">
        <f>[2]Industry!H$22</f>
        <v>2.5493162179941589E-2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6.7646973880495023E-2</v>
      </c>
      <c r="G812" s="1">
        <f t="shared" ref="G812:K812" si="945">G811</f>
        <v>8.5493008233653592E-2</v>
      </c>
      <c r="H812" s="1">
        <f t="shared" si="945"/>
        <v>8.4165697869743025E-2</v>
      </c>
      <c r="I812" s="1">
        <f t="shared" si="945"/>
        <v>8.6333798014645663E-2</v>
      </c>
      <c r="J812" s="1">
        <f t="shared" si="945"/>
        <v>8.5977217459676014E-2</v>
      </c>
      <c r="K812" s="1">
        <f t="shared" si="945"/>
        <v>5.941396318622888E-2</v>
      </c>
      <c r="L812" s="1">
        <f t="shared" ref="L812" si="946">L811</f>
        <v>2.5493162179941589E-2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0.10931224052895361</v>
      </c>
      <c r="J813" s="1">
        <f>[2]Industry!F$23</f>
        <v>7.3526367857696426</v>
      </c>
      <c r="K813" s="1">
        <f>[2]Industry!G$23</f>
        <v>9.796321811742942</v>
      </c>
      <c r="L813" s="1">
        <f>[2]Industry!H$23</f>
        <v>17.049352698037005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0.10931224052895361</v>
      </c>
      <c r="J814" s="1">
        <f t="shared" si="949"/>
        <v>7.3526367857696426</v>
      </c>
      <c r="K814" s="1">
        <f t="shared" si="949"/>
        <v>9.796321811742942</v>
      </c>
      <c r="L814" s="1">
        <f t="shared" ref="L814" si="950">L813</f>
        <v>17.049352698037005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0.74847885473621378</v>
      </c>
      <c r="G815" s="1">
        <f>[1]Industry!C$24</f>
        <v>0.94973227947903893</v>
      </c>
      <c r="H815" s="1">
        <f>[1]Industry!D$24</f>
        <v>0.98331567844381618</v>
      </c>
      <c r="I815" s="1">
        <f>[1]Industry!E$24</f>
        <v>4.081776646832016</v>
      </c>
      <c r="J815" s="1">
        <f>[2]Industry!F$24</f>
        <v>5.8117291411101943</v>
      </c>
      <c r="K815" s="1">
        <f>[2]Industry!G$24</f>
        <v>5.8591666573717802</v>
      </c>
      <c r="L815" s="1">
        <f>[2]Industry!H$24</f>
        <v>5.9488442150160923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0.74847885473621378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0.94973227947903893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0.97596107806232868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4.0777387615056826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5.8107633227798461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5.858370416527368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5.9480083476614363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7.3546003814874972E-3</v>
      </c>
      <c r="I817" s="1">
        <f t="shared" si="955"/>
        <v>4.0378853263334236E-3</v>
      </c>
      <c r="J817" s="1">
        <f t="shared" si="955"/>
        <v>9.6581833034825593E-4</v>
      </c>
      <c r="K817" s="1">
        <f t="shared" si="955"/>
        <v>7.9624084441221044E-4</v>
      </c>
      <c r="L817" s="1">
        <f t="shared" ref="L817" si="956">L815-L816</f>
        <v>8.3586735465601691E-4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72.708285585244965</v>
      </c>
      <c r="G818" s="17">
        <f>[1]Industry!C$71</f>
        <v>73.852833452367435</v>
      </c>
      <c r="H818" s="17">
        <f>[1]Industry!D$71</f>
        <v>76.140437449597641</v>
      </c>
      <c r="I818" s="17">
        <f>[1]Industry!E$71</f>
        <v>76.97700027276187</v>
      </c>
      <c r="J818" s="17">
        <f>[2]Industry!F$71</f>
        <v>77.507739178450308</v>
      </c>
      <c r="K818" s="17">
        <f>[2]Industry!G$71</f>
        <v>77.978701611385077</v>
      </c>
      <c r="L818" s="17">
        <f>[2]Industry!H$71</f>
        <v>78.80603365373922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58.985456633024469</v>
      </c>
      <c r="G819" s="18">
        <f t="shared" ref="G819:K819" si="957">SUM(G820:G822)</f>
        <v>60.569252362867253</v>
      </c>
      <c r="H819" s="18">
        <f t="shared" si="957"/>
        <v>63.614472871673343</v>
      </c>
      <c r="I819" s="18">
        <f t="shared" si="957"/>
        <v>69.04874493085191</v>
      </c>
      <c r="J819" s="18">
        <f t="shared" si="957"/>
        <v>73.381891798081568</v>
      </c>
      <c r="K819" s="18">
        <f t="shared" si="957"/>
        <v>73.898011480499832</v>
      </c>
      <c r="L819" s="18">
        <f t="shared" ref="L819" si="958">SUM(L820:L822)</f>
        <v>79.055799889339596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9.8139040171759113</v>
      </c>
      <c r="G820" s="1">
        <f>[1]Industry!C$55</f>
        <v>10.335083817685675</v>
      </c>
      <c r="H820" s="1">
        <f>[1]Industry!D$55</f>
        <v>10.576621474638111</v>
      </c>
      <c r="I820" s="1">
        <f>[1]Industry!E$55</f>
        <v>10.576629830648569</v>
      </c>
      <c r="J820" s="1">
        <f>[2]Industry!F$55</f>
        <v>11.374094474819794</v>
      </c>
      <c r="K820" s="1">
        <f>[2]Industry!G$55</f>
        <v>11.374094755728272</v>
      </c>
      <c r="L820" s="1">
        <f>[2]Industry!H$55</f>
        <v>15.152287949764093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1.1081549636775609</v>
      </c>
      <c r="G821" s="1">
        <f>[1]Industry!C$56</f>
        <v>1.4007963377871762</v>
      </c>
      <c r="H821" s="1">
        <f>[1]Industry!D$56</f>
        <v>1.4315124160724955</v>
      </c>
      <c r="I821" s="1">
        <f>[1]Industry!E$56</f>
        <v>5.9280883648308658</v>
      </c>
      <c r="J821" s="1">
        <f>[2]Industry!F$56</f>
        <v>8.3760406496699975</v>
      </c>
      <c r="K821" s="1">
        <f>[2]Industry!G$56</f>
        <v>8.3764175358470663</v>
      </c>
      <c r="L821" s="1">
        <f>[2]Industry!H$56</f>
        <v>8.3764214286343144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48.833372207394405</v>
      </c>
      <c r="H822" s="1">
        <f>[1]Industry!D$3-([1]Industry!D$6-[1]Industry!D$70)</f>
        <v>51.606338980962732</v>
      </c>
      <c r="I822" s="1">
        <f>[1]Industry!E$3-([1]Industry!E$6-[1]Industry!E$70)</f>
        <v>52.544026735372469</v>
      </c>
      <c r="J822" s="1">
        <f>[2]Industry!F$3-([2]Industry!F$6-[2]Industry!F$70)</f>
        <v>53.631756673591781</v>
      </c>
      <c r="K822" s="1">
        <f>[2]Industry!G$3-([2]Industry!G$6-[2]Industry!G$70)</f>
        <v>54.147499188924492</v>
      </c>
      <c r="L822" s="1">
        <f>[2]Industry!H$3-([2]Industry!H$6-[2]Industry!H$70)</f>
        <v>55.527090510941193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8.7635392364936262</v>
      </c>
      <c r="G823" s="1">
        <f t="shared" ref="G823:K823" si="960">SUM(G824:G825)</f>
        <v>7.9451546427839332</v>
      </c>
      <c r="H823" s="1">
        <f t="shared" si="960"/>
        <v>6.4480230190947436</v>
      </c>
      <c r="I823" s="1">
        <f t="shared" si="960"/>
        <v>5.0612025994754335</v>
      </c>
      <c r="J823" s="1">
        <f t="shared" si="960"/>
        <v>3.9039615709499511</v>
      </c>
      <c r="K823" s="1">
        <f t="shared" si="960"/>
        <v>3.9039744144509916</v>
      </c>
      <c r="L823" s="1">
        <f t="shared" ref="L823" si="961">SUM(L824:L825)</f>
        <v>0.49578979730182415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6.9177137822992787</v>
      </c>
      <c r="G824" s="1">
        <f>[1]Industry!C$57</f>
        <v>6.3119358014229725</v>
      </c>
      <c r="H824" s="1">
        <f>[1]Industry!D$57</f>
        <v>6.4452632198334765</v>
      </c>
      <c r="I824" s="1">
        <f>[1]Industry!E$57</f>
        <v>5.0607041305792757</v>
      </c>
      <c r="J824" s="1">
        <f>[2]Industry!F$57</f>
        <v>3.9035845161052674</v>
      </c>
      <c r="K824" s="1">
        <f>[2]Industry!G$57</f>
        <v>3.9023510070094689</v>
      </c>
      <c r="L824" s="1">
        <f>[2]Industry!H$57</f>
        <v>0.49578979730182415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1.8458254541943471</v>
      </c>
      <c r="G825" s="1">
        <f>[1]Industry!C$58</f>
        <v>1.6332188413609612</v>
      </c>
      <c r="H825" s="1">
        <f>[1]Industry!D$58</f>
        <v>2.7597992612674515E-3</v>
      </c>
      <c r="I825" s="1">
        <f>[1]Industry!E$58</f>
        <v>4.984688961578509E-4</v>
      </c>
      <c r="J825" s="1">
        <f>[2]Industry!F$58</f>
        <v>3.7705484468379821E-4</v>
      </c>
      <c r="K825" s="1">
        <f>[2]Industry!G$58</f>
        <v>1.6234074415227486E-3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28.930286984388893</v>
      </c>
      <c r="G826" s="1">
        <f t="shared" ref="G826:K826" si="962">SUM(G827:G829)</f>
        <v>26.344217915994758</v>
      </c>
      <c r="H826" s="1">
        <f t="shared" si="962"/>
        <v>30.492355835882435</v>
      </c>
      <c r="I826" s="1">
        <f t="shared" si="962"/>
        <v>25.237593875716232</v>
      </c>
      <c r="J826" s="1">
        <f t="shared" si="962"/>
        <v>18.032050507465389</v>
      </c>
      <c r="K826" s="1">
        <f t="shared" si="962"/>
        <v>14.08839401042882</v>
      </c>
      <c r="L826" s="1">
        <f t="shared" ref="L826" si="963">SUM(L827:L829)</f>
        <v>10.329672656603007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28.619772189548002</v>
      </c>
      <c r="G827" s="1">
        <f>[1]Industry!C$59</f>
        <v>25.951697793646559</v>
      </c>
      <c r="H827" s="1">
        <f>[1]Industry!D$59</f>
        <v>27.590859901602798</v>
      </c>
      <c r="I827" s="1">
        <f>[1]Industry!E$59</f>
        <v>19.390613826455084</v>
      </c>
      <c r="J827" s="1">
        <f>[2]Industry!F$59</f>
        <v>10.309930429931626</v>
      </c>
      <c r="K827" s="1">
        <f>[2]Industry!G$59</f>
        <v>6.061524547567088</v>
      </c>
      <c r="L827" s="1">
        <f>[2]Industry!H$59</f>
        <v>1.7964717055928132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1.5660903292703202E-2</v>
      </c>
      <c r="I828" s="1">
        <f>[1]Industry!E$60</f>
        <v>8.4161358728433965E-3</v>
      </c>
      <c r="J828" s="1">
        <f>[2]Industry!F$60</f>
        <v>1.9728274235313163E-3</v>
      </c>
      <c r="K828" s="1">
        <f>[2]Industry!G$60</f>
        <v>1.5957341231935755E-3</v>
      </c>
      <c r="L828" s="1">
        <f>[2]Industry!H$60</f>
        <v>1.6173411876957019E-3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0.31051479484089017</v>
      </c>
      <c r="G829" s="1">
        <f>[1]Industry!C$68</f>
        <v>0.39252012234819905</v>
      </c>
      <c r="H829" s="1">
        <f>[1]Industry!D$68</f>
        <v>2.8858350309869363</v>
      </c>
      <c r="I829" s="1">
        <f>[1]Industry!E$68</f>
        <v>5.8385639133883052</v>
      </c>
      <c r="J829" s="1">
        <f>[2]Industry!F$68</f>
        <v>7.7201472501102311</v>
      </c>
      <c r="K829" s="1">
        <f>[2]Industry!G$68</f>
        <v>8.0252737287385383</v>
      </c>
      <c r="L829" s="1">
        <f>[2]Industry!H$68</f>
        <v>8.5315836098224977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2.367404232946277</v>
      </c>
      <c r="G830" s="1">
        <f t="shared" ref="G830:L830" si="966">G831</f>
        <v>2.3075021521775896</v>
      </c>
      <c r="H830" s="1">
        <f t="shared" si="966"/>
        <v>1.9391803353997341E-2</v>
      </c>
      <c r="I830" s="1">
        <f t="shared" si="966"/>
        <v>3.9297835510985574E-4</v>
      </c>
      <c r="J830" s="1">
        <f t="shared" si="966"/>
        <v>1.8008200735829502E-4</v>
      </c>
      <c r="K830" s="1">
        <f t="shared" si="966"/>
        <v>0.43980528737612745</v>
      </c>
      <c r="L830" s="1">
        <f t="shared" si="966"/>
        <v>2.0155496267232597E-4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2.367404232946277</v>
      </c>
      <c r="G831" s="1">
        <f>[1]Industry!C$61</f>
        <v>2.3075021521775896</v>
      </c>
      <c r="H831" s="1">
        <f>[1]Industry!D$61</f>
        <v>1.9391803353997341E-2</v>
      </c>
      <c r="I831" s="1">
        <f>[1]Industry!E$61</f>
        <v>3.9297835510985574E-4</v>
      </c>
      <c r="J831" s="1">
        <f>[2]Industry!F$61</f>
        <v>1.8008200735829502E-4</v>
      </c>
      <c r="K831" s="1">
        <f>[2]Industry!G$61</f>
        <v>0.43980528737612745</v>
      </c>
      <c r="L831" s="1">
        <f>[2]Industry!H$61</f>
        <v>2.0155496267232597E-4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11.767332176870195</v>
      </c>
      <c r="G832" s="1">
        <f t="shared" ref="G832:K832" si="967">G833+G843</f>
        <v>12.635408666371939</v>
      </c>
      <c r="H832" s="1">
        <f t="shared" si="967"/>
        <v>12.969711481664916</v>
      </c>
      <c r="I832" s="1">
        <f t="shared" si="967"/>
        <v>13.328829392105245</v>
      </c>
      <c r="J832" s="1">
        <f t="shared" si="967"/>
        <v>13.585354559123168</v>
      </c>
      <c r="K832" s="1">
        <f t="shared" si="967"/>
        <v>14.383403772745341</v>
      </c>
      <c r="L832" s="1">
        <f t="shared" ref="L832" si="968">L833+L843</f>
        <v>16.056325271383148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5.1850572723066275</v>
      </c>
      <c r="G833" s="1">
        <f>[1]Industry!C$62</f>
        <v>5.5675591231664345</v>
      </c>
      <c r="H833" s="1">
        <f>[1]Industry!D$62</f>
        <v>5.8792030863914224</v>
      </c>
      <c r="I833" s="1">
        <f>[1]Industry!E$62</f>
        <v>6.200553484032322</v>
      </c>
      <c r="J833" s="1">
        <f>[2]Industry!F$62</f>
        <v>6.4193141180571258</v>
      </c>
      <c r="K833" s="1">
        <f>[2]Industry!G$62</f>
        <v>7.1796396147168347</v>
      </c>
      <c r="L833" s="1">
        <f>[2]Industry!H$62</f>
        <v>7.1902854604718751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1.1210355989108127</v>
      </c>
      <c r="G834" s="1">
        <f t="shared" ref="G834:K834" si="969">IFERROR(G793/G$792,0)*G$833</f>
        <v>1.970446264512169</v>
      </c>
      <c r="H834" s="1">
        <f t="shared" si="969"/>
        <v>1.557976596073652</v>
      </c>
      <c r="I834" s="1">
        <f t="shared" si="969"/>
        <v>1.3648908908275061</v>
      </c>
      <c r="J834" s="1">
        <f t="shared" si="969"/>
        <v>0.79400046451056872</v>
      </c>
      <c r="K834" s="1">
        <f t="shared" si="969"/>
        <v>0</v>
      </c>
      <c r="L834" s="1">
        <f t="shared" ref="L834" si="970">IFERROR(L793/L$792,0)*L$833</f>
        <v>0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0.93292977277215539</v>
      </c>
      <c r="G835" s="1">
        <f t="shared" si="971"/>
        <v>9.7960452972595063E-2</v>
      </c>
      <c r="H835" s="1">
        <f t="shared" si="971"/>
        <v>0.6437671547849132</v>
      </c>
      <c r="I835" s="1">
        <f t="shared" si="971"/>
        <v>0.75675272971723262</v>
      </c>
      <c r="J835" s="1">
        <f t="shared" si="971"/>
        <v>0.14683103993615923</v>
      </c>
      <c r="K835" s="1">
        <f t="shared" si="971"/>
        <v>0.63883250955656745</v>
      </c>
      <c r="L835" s="1">
        <f t="shared" ref="L835" si="972">IFERROR(L794/L$792,0)*L$833</f>
        <v>0.12500463262280098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7.3791243801911641E-2</v>
      </c>
      <c r="L836" s="1">
        <f t="shared" ref="L836" si="973">IFERROR(L795/L$792,0)*L$833</f>
        <v>7.22871248134518E-2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2.9894239992822607E-4</v>
      </c>
      <c r="J837" s="1">
        <f t="shared" si="971"/>
        <v>2.0607536976827232E-4</v>
      </c>
      <c r="K837" s="1">
        <f t="shared" si="971"/>
        <v>5.4639607991155555E-4</v>
      </c>
      <c r="L837" s="1">
        <f t="shared" ref="L837" si="974">IFERROR(L796/L$792,0)*L$833</f>
        <v>3.1519685694113937E-4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2.3344373505229341</v>
      </c>
      <c r="G838" s="1">
        <f t="shared" si="971"/>
        <v>1.7696101619919105</v>
      </c>
      <c r="H838" s="1">
        <f t="shared" si="971"/>
        <v>1.0246962680555895E-2</v>
      </c>
      <c r="I838" s="1">
        <f t="shared" si="971"/>
        <v>9.1843918858921705E-3</v>
      </c>
      <c r="J838" s="1">
        <f t="shared" si="971"/>
        <v>3.3143668317943999E-3</v>
      </c>
      <c r="K838" s="1">
        <f t="shared" si="971"/>
        <v>1.4971542840491509E-2</v>
      </c>
      <c r="L838" s="1">
        <f t="shared" ref="L838" si="975">IFERROR(L797/L$792,0)*L$833</f>
        <v>4.0322921940550343E-4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2.4636015941106554E-2</v>
      </c>
      <c r="L839" s="1">
        <f t="shared" ref="L839" si="976">IFERROR(L798/L$792,0)*L$833</f>
        <v>0.93977693381956151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0.79665455010072594</v>
      </c>
      <c r="G840" s="1">
        <f t="shared" si="971"/>
        <v>1.7295422436897594</v>
      </c>
      <c r="H840" s="1">
        <f t="shared" si="971"/>
        <v>3.6672123728523021</v>
      </c>
      <c r="I840" s="1">
        <f t="shared" si="971"/>
        <v>4.0399751071463132</v>
      </c>
      <c r="J840" s="1">
        <f t="shared" si="971"/>
        <v>5.4727315698926695</v>
      </c>
      <c r="K840" s="1">
        <f t="shared" si="971"/>
        <v>4.8835358739411987</v>
      </c>
      <c r="L840" s="1">
        <f t="shared" ref="L840" si="977">IFERROR(L799/L$792,0)*L$833</f>
        <v>1.8006004844525014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1.4355106879009252</v>
      </c>
      <c r="L841" s="1">
        <f t="shared" ref="L841" si="978">IFERROR(L800/L$792,0)*L$833</f>
        <v>4.1504774926770258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2.9451422055448928E-2</v>
      </c>
      <c r="J842" s="1">
        <f t="shared" si="971"/>
        <v>2.2306015161660531E-3</v>
      </c>
      <c r="K842" s="1">
        <f t="shared" si="971"/>
        <v>0.10781534465472267</v>
      </c>
      <c r="L842" s="1">
        <f t="shared" ref="L842" si="979">IFERROR(L801/L$792,0)*L$833</f>
        <v>0.10142036601018756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6.5822749045635662</v>
      </c>
      <c r="G843" s="1">
        <f>[1]Industry!C$63</f>
        <v>7.0678495432055044</v>
      </c>
      <c r="H843" s="1">
        <f>[1]Industry!D$63</f>
        <v>7.0905083952734946</v>
      </c>
      <c r="I843" s="1">
        <f>[1]Industry!E$63</f>
        <v>7.1282759080729221</v>
      </c>
      <c r="J843" s="1">
        <f>[2]Industry!F$63</f>
        <v>7.166040441066043</v>
      </c>
      <c r="K843" s="1">
        <f>[2]Industry!G$63</f>
        <v>7.2037641580285063</v>
      </c>
      <c r="L843" s="1">
        <f>[2]Industry!H$63</f>
        <v>8.866039810911273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5.311127034814473</v>
      </c>
      <c r="G844" s="1">
        <f t="shared" ref="G844:L844" si="980">G845</f>
        <v>6.2669404487548341</v>
      </c>
      <c r="H844" s="1">
        <f t="shared" si="980"/>
        <v>3.5222808899944016</v>
      </c>
      <c r="I844" s="1">
        <f t="shared" si="980"/>
        <v>3.3495469053066258</v>
      </c>
      <c r="J844" s="1">
        <f t="shared" si="980"/>
        <v>3.7446748145084756</v>
      </c>
      <c r="K844" s="1">
        <f t="shared" si="980"/>
        <v>4.9169886068158233</v>
      </c>
      <c r="L844" s="1">
        <f t="shared" si="980"/>
        <v>4.5417232081779195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5.311127034814473</v>
      </c>
      <c r="G845" s="1">
        <f>[1]Industry!C$64</f>
        <v>6.2669404487548341</v>
      </c>
      <c r="H845" s="1">
        <f>[1]Industry!D$64</f>
        <v>3.5222808899944016</v>
      </c>
      <c r="I845" s="1">
        <f>[1]Industry!E$64</f>
        <v>3.3495469053066258</v>
      </c>
      <c r="J845" s="1">
        <f>[2]Industry!F$64</f>
        <v>3.7446748145084756</v>
      </c>
      <c r="K845" s="1">
        <f>[2]Industry!G$64</f>
        <v>4.9169886068158233</v>
      </c>
      <c r="L845" s="1">
        <f>[2]Industry!H$64</f>
        <v>4.5417232081779195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0.46152062849584646</v>
      </c>
      <c r="G846" s="1">
        <f t="shared" ref="G846:L846" si="981">G847</f>
        <v>0.54457623963565305</v>
      </c>
      <c r="H846" s="1">
        <f t="shared" si="981"/>
        <v>3.0559777518475681</v>
      </c>
      <c r="I846" s="1">
        <f t="shared" si="981"/>
        <v>3.0559851117250689</v>
      </c>
      <c r="J846" s="1">
        <f t="shared" si="981"/>
        <v>3.056075605776416</v>
      </c>
      <c r="K846" s="1">
        <f t="shared" si="981"/>
        <v>3.0560764946120593</v>
      </c>
      <c r="L846" s="1">
        <f t="shared" si="981"/>
        <v>3.056077467920145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0.46152062849584646</v>
      </c>
      <c r="G847" s="1">
        <f>[1]Industry!C$65</f>
        <v>0.54457623963565305</v>
      </c>
      <c r="H847" s="1">
        <f>[1]Industry!D$65</f>
        <v>3.0559777518475681</v>
      </c>
      <c r="I847" s="1">
        <f>[1]Industry!E$65</f>
        <v>3.0559851117250689</v>
      </c>
      <c r="J847" s="1">
        <f>[2]Industry!F$65</f>
        <v>3.056075605776416</v>
      </c>
      <c r="K847" s="1">
        <f>[2]Industry!G$65</f>
        <v>3.0560764946120593</v>
      </c>
      <c r="L847" s="1">
        <f>[2]Industry!H$65</f>
        <v>3.056077467920145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4.1173693365016817</v>
      </c>
      <c r="G848" s="1">
        <f t="shared" ref="G848:L848" si="982">G849</f>
        <v>4.2663306003318366</v>
      </c>
      <c r="H848" s="1">
        <f t="shared" si="982"/>
        <v>5.8190678096012602</v>
      </c>
      <c r="I848" s="1">
        <f t="shared" si="982"/>
        <v>5.7536330397675322</v>
      </c>
      <c r="J848" s="1">
        <f t="shared" si="982"/>
        <v>5.694545211675508</v>
      </c>
      <c r="K848" s="1">
        <f t="shared" si="982"/>
        <v>5.5952365174814105</v>
      </c>
      <c r="L848" s="1">
        <f t="shared" si="982"/>
        <v>2.9375895125919134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4.1173693365016817</v>
      </c>
      <c r="G849" s="1">
        <f>[1]Industry!C$66</f>
        <v>4.2663306003318366</v>
      </c>
      <c r="H849" s="1">
        <f>[1]Industry!D$66</f>
        <v>5.8190678096012602</v>
      </c>
      <c r="I849" s="1">
        <f>[1]Industry!E$66</f>
        <v>5.7536330397675322</v>
      </c>
      <c r="J849" s="1">
        <f>[2]Industry!F$66</f>
        <v>5.694545211675508</v>
      </c>
      <c r="K849" s="1">
        <f>[2]Industry!G$66</f>
        <v>5.5952365174814105</v>
      </c>
      <c r="L849" s="1">
        <f>[2]Industry!H$66</f>
        <v>2.9375895125919134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6.7646973880495023E-2</v>
      </c>
      <c r="G850" s="1">
        <f t="shared" ref="G850:L850" si="983">G851</f>
        <v>8.5493008233653592E-2</v>
      </c>
      <c r="H850" s="1">
        <f t="shared" si="983"/>
        <v>8.4165697869743025E-2</v>
      </c>
      <c r="I850" s="1">
        <f t="shared" si="983"/>
        <v>8.6333798014645663E-2</v>
      </c>
      <c r="J850" s="1">
        <f t="shared" si="983"/>
        <v>8.5977217459676014E-2</v>
      </c>
      <c r="K850" s="1">
        <f t="shared" si="983"/>
        <v>5.941396318622888E-2</v>
      </c>
      <c r="L850" s="1">
        <f t="shared" si="983"/>
        <v>2.5493162179941589E-2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6.7646973880495023E-2</v>
      </c>
      <c r="G851" s="1">
        <f>[1]Industry!C$67</f>
        <v>8.5493008233653592E-2</v>
      </c>
      <c r="H851" s="1">
        <f>[1]Industry!D$67</f>
        <v>8.4165697869743025E-2</v>
      </c>
      <c r="I851" s="1">
        <f>[1]Industry!E$67</f>
        <v>8.6333798014645663E-2</v>
      </c>
      <c r="J851" s="1">
        <f>[2]Industry!F$67</f>
        <v>8.5977217459676014E-2</v>
      </c>
      <c r="K851" s="1">
        <f>[2]Industry!G$67</f>
        <v>5.941396318622888E-2</v>
      </c>
      <c r="L851" s="1">
        <f>[2]Industry!H$67</f>
        <v>2.5493162179941589E-2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1.9262429781348192E-2</v>
      </c>
      <c r="J852" s="1">
        <f t="shared" si="984"/>
        <v>5.6390019199855272</v>
      </c>
      <c r="K852" s="1">
        <f t="shared" si="984"/>
        <v>7.7420639155589468</v>
      </c>
      <c r="L852" s="1">
        <f t="shared" si="984"/>
        <v>13.791460001802001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1.9262429781348192E-2</v>
      </c>
      <c r="J853" s="1">
        <f>[2]Industry!F$69</f>
        <v>5.6390019199855272</v>
      </c>
      <c r="K853" s="1">
        <f>[2]Industry!G$69</f>
        <v>7.7420639155589468</v>
      </c>
      <c r="L853" s="1">
        <f>[2]Industry!H$69</f>
        <v>13.791460001802001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2.0834212741786553</v>
      </c>
      <c r="H854" s="1">
        <f t="shared" si="985"/>
        <v>2.0834208468838362</v>
      </c>
      <c r="I854" s="1">
        <f t="shared" si="985"/>
        <v>5.5431808463981351</v>
      </c>
      <c r="J854" s="1">
        <f t="shared" si="985"/>
        <v>4.8609720061950865</v>
      </c>
      <c r="K854" s="1">
        <f t="shared" si="985"/>
        <v>4.9053938741358953</v>
      </c>
      <c r="L854" s="1">
        <f t="shared" ref="L854" si="986">SUM(L855:L856)</f>
        <v>4.905670044510579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0.3620916515682866</v>
      </c>
      <c r="H855" s="1">
        <f>[1]Industry!D$6-H856</f>
        <v>0.36209157730587505</v>
      </c>
      <c r="I855" s="1">
        <f>[1]Industry!E$6-I856</f>
        <v>0.96367889936293505</v>
      </c>
      <c r="J855" s="1">
        <f>[2]Industry!F$6-J856</f>
        <v>0.84518944118604722</v>
      </c>
      <c r="K855" s="1">
        <f>[2]Industry!G$6-K856</f>
        <v>0.8625615369818993</v>
      </c>
      <c r="L855" s="1">
        <f>[2]Industry!H$6-L856</f>
        <v>0.86267840209233171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1.7213296226103687</v>
      </c>
      <c r="H856" s="1">
        <f>[1]Industry!D$70</f>
        <v>1.7213292695779612</v>
      </c>
      <c r="I856" s="1">
        <f>[1]Industry!E$70</f>
        <v>4.5795019470352001</v>
      </c>
      <c r="J856" s="1">
        <f>[2]Industry!F$70</f>
        <v>4.0157825650090393</v>
      </c>
      <c r="K856" s="1">
        <f>[2]Industry!G$70</f>
        <v>4.042832337153996</v>
      </c>
      <c r="L856" s="1">
        <f>[2]Industry!H$70</f>
        <v>4.0429916424182473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0.84306236513985355</v>
      </c>
      <c r="H858" s="4">
        <f t="shared" si="987"/>
        <v>0.84373276872970759</v>
      </c>
      <c r="I858" s="4">
        <f t="shared" si="987"/>
        <v>0.84485010804612981</v>
      </c>
      <c r="J858" s="4">
        <f t="shared" si="987"/>
        <v>0.84596744736255369</v>
      </c>
      <c r="K858" s="4">
        <f t="shared" si="987"/>
        <v>0.84708478667897746</v>
      </c>
      <c r="L858" s="4">
        <f t="shared" ref="L858" si="988">IFERROR(L820/L765,"-")</f>
        <v>0.84931946531182301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3.0809801822513294</v>
      </c>
      <c r="G859" s="4">
        <f t="shared" si="991"/>
        <v>3.1055374774069109</v>
      </c>
      <c r="H859" s="4">
        <f t="shared" si="991"/>
        <v>3.1423734201402951</v>
      </c>
      <c r="I859" s="4">
        <f t="shared" si="991"/>
        <v>3.2037666580292479</v>
      </c>
      <c r="J859" s="4">
        <f t="shared" si="991"/>
        <v>3.2651598959182127</v>
      </c>
      <c r="K859" s="4">
        <f t="shared" si="991"/>
        <v>3.3265531338071734</v>
      </c>
      <c r="L859" s="4">
        <f t="shared" ref="L859" si="992">IFERROR(L821/L766,"-")</f>
        <v>3.4493396095850906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0.99999999999999989</v>
      </c>
      <c r="G860" s="4">
        <f t="shared" si="993"/>
        <v>0.999999977520862</v>
      </c>
      <c r="H860" s="4">
        <f t="shared" si="993"/>
        <v>0.99999997826331477</v>
      </c>
      <c r="I860" s="4">
        <f t="shared" si="993"/>
        <v>1.0000004274276719</v>
      </c>
      <c r="J860" s="4">
        <f t="shared" si="993"/>
        <v>1.0000006078413426</v>
      </c>
      <c r="K860" s="4">
        <f t="shared" si="993"/>
        <v>0.99999888432560424</v>
      </c>
      <c r="L860" s="4">
        <f t="shared" ref="L860" si="994">IFERROR(L822/L767,"-")</f>
        <v>0.96213770043466418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0.7774621322436357</v>
      </c>
      <c r="G861" s="4">
        <f t="shared" ref="G861:K862" si="995">IFERROR(G824/G769,"-")</f>
        <v>0.77871988564932249</v>
      </c>
      <c r="H861" s="4">
        <f t="shared" si="995"/>
        <v>0.780606515757856</v>
      </c>
      <c r="I861" s="4">
        <f t="shared" si="995"/>
        <v>0.78375089927207797</v>
      </c>
      <c r="J861" s="4">
        <f t="shared" si="995"/>
        <v>0.78689528278629806</v>
      </c>
      <c r="K861" s="4">
        <f t="shared" si="995"/>
        <v>0.79003966630051814</v>
      </c>
      <c r="L861" s="4">
        <f t="shared" ref="L861" si="996">IFERROR(L824/L769,"-")</f>
        <v>0.79632843332896119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0.67612499999999986</v>
      </c>
      <c r="G862" s="4">
        <f t="shared" si="995"/>
        <v>0.67905000000000015</v>
      </c>
      <c r="H862" s="4">
        <f t="shared" si="995"/>
        <v>0.68343750000000025</v>
      </c>
      <c r="I862" s="4">
        <f t="shared" si="995"/>
        <v>0.69075000000000075</v>
      </c>
      <c r="J862" s="4">
        <f t="shared" si="995"/>
        <v>0.69806250000000025</v>
      </c>
      <c r="K862" s="4">
        <f t="shared" si="995"/>
        <v>0.70537499999999931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0.80507429136217168</v>
      </c>
      <c r="G863" s="4">
        <f t="shared" ref="G863:K865" si="998">IFERROR(G827/G779,"-")</f>
        <v>0.80573074557690094</v>
      </c>
      <c r="H863" s="4">
        <f t="shared" si="998"/>
        <v>0.80660170650634533</v>
      </c>
      <c r="I863" s="4">
        <f t="shared" si="998"/>
        <v>0.81126664439551566</v>
      </c>
      <c r="J863" s="4">
        <f t="shared" si="998"/>
        <v>0.83401514666482002</v>
      </c>
      <c r="K863" s="4">
        <f t="shared" si="998"/>
        <v>0.8367097413969109</v>
      </c>
      <c r="L863" s="4">
        <f t="shared" ref="L863" si="999">IFERROR(L827/L779,"-")</f>
        <v>0.84039145335128751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11.28790453363715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0.70593476436816582</v>
      </c>
      <c r="G865" s="4">
        <f t="shared" si="998"/>
        <v>0.70982856881407141</v>
      </c>
      <c r="H865" s="4">
        <f t="shared" si="998"/>
        <v>0.71075704672712847</v>
      </c>
      <c r="I865" s="4">
        <f t="shared" si="998"/>
        <v>0.71099999999999919</v>
      </c>
      <c r="J865" s="4">
        <f t="shared" si="998"/>
        <v>0.71099999999999997</v>
      </c>
      <c r="K865" s="4">
        <f t="shared" si="998"/>
        <v>0.71099999999999997</v>
      </c>
      <c r="L865" s="4">
        <f t="shared" ref="L865" si="1001">IFERROR(L829/L781,"-")</f>
        <v>0.72000000000000064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0.6649999999999997</v>
      </c>
      <c r="G866" s="4">
        <f t="shared" ref="G866:K866" si="1002">IFERROR(G831/G790,"-")</f>
        <v>0.66600000000000004</v>
      </c>
      <c r="H866" s="4">
        <f t="shared" si="1002"/>
        <v>0.66749999999999998</v>
      </c>
      <c r="I866" s="4">
        <f t="shared" si="1002"/>
        <v>0.6699999999999996</v>
      </c>
      <c r="J866" s="4">
        <f t="shared" si="1002"/>
        <v>0.67250000000000032</v>
      </c>
      <c r="K866" s="4">
        <f t="shared" si="1002"/>
        <v>0.67500000000000027</v>
      </c>
      <c r="L866" s="4">
        <f t="shared" ref="L866" si="1003">IFERROR(L831/L790,"-")</f>
        <v>0.68000000000000016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1.2065317343179822</v>
      </c>
      <c r="G867" s="4">
        <f t="shared" ref="G867:K867" si="1004">IFERROR(G834/G793,"-")</f>
        <v>0.95203262851139381</v>
      </c>
      <c r="H867" s="4">
        <f t="shared" si="1004"/>
        <v>1.0659893120291761</v>
      </c>
      <c r="I867" s="4">
        <f t="shared" si="1004"/>
        <v>1.0433352443434076</v>
      </c>
      <c r="J867" s="4">
        <f t="shared" si="1004"/>
        <v>0.93621907938053783</v>
      </c>
      <c r="K867" s="4" t="str">
        <f t="shared" si="1004"/>
        <v>-</v>
      </c>
      <c r="L867" s="4" t="str">
        <f t="shared" ref="L867" si="1005">IFERROR(L834/L793,"-")</f>
        <v>-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1.2065317343179824</v>
      </c>
      <c r="G868" s="4">
        <f t="shared" si="1006"/>
        <v>0.95203262851139392</v>
      </c>
      <c r="H868" s="4">
        <f t="shared" si="1006"/>
        <v>1.0659893120291761</v>
      </c>
      <c r="I868" s="4">
        <f t="shared" si="1006"/>
        <v>1.0433352443434076</v>
      </c>
      <c r="J868" s="4">
        <f t="shared" si="1006"/>
        <v>0.93621907938053794</v>
      </c>
      <c r="K868" s="4">
        <f t="shared" si="1006"/>
        <v>0.9409324813584401</v>
      </c>
      <c r="L868" s="4">
        <f t="shared" ref="L868" si="1007">IFERROR(L835/L794,"-")</f>
        <v>0.94982812565886954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>
        <f t="shared" si="1006"/>
        <v>0.94093248135844021</v>
      </c>
      <c r="L869" s="4">
        <f t="shared" ref="L869" si="1008">IFERROR(L836/L795,"-")</f>
        <v>0.94982812565886954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>
        <f t="shared" si="1006"/>
        <v>1.0433352443434079</v>
      </c>
      <c r="J870" s="4">
        <f t="shared" si="1006"/>
        <v>0.93621907938053794</v>
      </c>
      <c r="K870" s="4">
        <f t="shared" si="1006"/>
        <v>0.9409324813584401</v>
      </c>
      <c r="L870" s="4">
        <f t="shared" ref="L870" si="1009">IFERROR(L837/L796,"-")</f>
        <v>0.94982812565886965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1.2065317343179824</v>
      </c>
      <c r="G871" s="4">
        <f t="shared" si="1006"/>
        <v>0.95203262851139381</v>
      </c>
      <c r="H871" s="4">
        <f t="shared" si="1006"/>
        <v>1.0659893120291759</v>
      </c>
      <c r="I871" s="4">
        <f t="shared" si="1006"/>
        <v>1.0433352443434076</v>
      </c>
      <c r="J871" s="4">
        <f t="shared" si="1006"/>
        <v>0.93621907938053794</v>
      </c>
      <c r="K871" s="4">
        <f t="shared" si="1006"/>
        <v>0.94093248135844021</v>
      </c>
      <c r="L871" s="4">
        <f t="shared" ref="L871" si="1010">IFERROR(L838/L797,"-")</f>
        <v>0.94982812565886976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>
        <f t="shared" si="1006"/>
        <v>0.9409324813584401</v>
      </c>
      <c r="L872" s="4">
        <f t="shared" ref="L872" si="1011">IFERROR(L839/L798,"-")</f>
        <v>0.94982812565886976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1.2065317343179822</v>
      </c>
      <c r="G873" s="4">
        <f t="shared" si="1006"/>
        <v>0.95203262851139392</v>
      </c>
      <c r="H873" s="4">
        <f t="shared" si="1006"/>
        <v>1.0659893120291761</v>
      </c>
      <c r="I873" s="4">
        <f t="shared" si="1006"/>
        <v>1.0433352443434076</v>
      </c>
      <c r="J873" s="4">
        <f t="shared" si="1006"/>
        <v>0.93621907938053794</v>
      </c>
      <c r="K873" s="4">
        <f t="shared" si="1006"/>
        <v>0.9409324813584401</v>
      </c>
      <c r="L873" s="4">
        <f t="shared" ref="L873" si="1012">IFERROR(L840/L799,"-")</f>
        <v>0.94982812565886965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>
        <f t="shared" si="1006"/>
        <v>0.94093248135844021</v>
      </c>
      <c r="L874" s="4">
        <f t="shared" ref="L874" si="1013">IFERROR(L841/L800,"-")</f>
        <v>0.94982812565886976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>
        <f t="shared" si="1006"/>
        <v>1.0433352443434076</v>
      </c>
      <c r="J875" s="4">
        <f t="shared" si="1006"/>
        <v>0.93621907938053783</v>
      </c>
      <c r="K875" s="4">
        <f t="shared" si="1006"/>
        <v>0.94093248135844021</v>
      </c>
      <c r="L875" s="4">
        <f t="shared" ref="L875" si="1014">IFERROR(L842/L801,"-")</f>
        <v>0.94982812565886976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0.92447626236575142</v>
      </c>
      <c r="G876" s="4">
        <f t="shared" si="1006"/>
        <v>0.9264563641282727</v>
      </c>
      <c r="H876" s="4">
        <f t="shared" si="1006"/>
        <v>0.92942651677205523</v>
      </c>
      <c r="I876" s="4">
        <f t="shared" si="1006"/>
        <v>0.93437677117835805</v>
      </c>
      <c r="J876" s="4">
        <f t="shared" si="1006"/>
        <v>0.93932702558466086</v>
      </c>
      <c r="K876" s="4">
        <f>IFERROR(K843/K802,"-")</f>
        <v>0.944277279990966</v>
      </c>
      <c r="L876" s="4">
        <f>IFERROR(L843/L802,"-")</f>
        <v>0.95000000000000029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15">IFERROR(G845/G804,"-")</f>
        <v>0.59066666666666579</v>
      </c>
      <c r="H877" s="4">
        <f t="shared" si="1015"/>
        <v>0.5916666666666669</v>
      </c>
      <c r="I877" s="4">
        <f t="shared" si="1015"/>
        <v>0.59333333333333327</v>
      </c>
      <c r="J877" s="4">
        <f t="shared" si="1015"/>
        <v>0.59500000000000031</v>
      </c>
      <c r="K877" s="4">
        <f t="shared" si="1015"/>
        <v>0.59666666666666701</v>
      </c>
      <c r="L877" s="4">
        <f t="shared" ref="L877" si="1016">IFERROR(L845/L804,"-")</f>
        <v>0.6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17">IFERROR(G847/G806,"-")</f>
        <v>0.73833333333333329</v>
      </c>
      <c r="H878" s="4">
        <f t="shared" si="1017"/>
        <v>0.73958333333333315</v>
      </c>
      <c r="I878" s="4">
        <f t="shared" si="1017"/>
        <v>0.74166666666666692</v>
      </c>
      <c r="J878" s="4">
        <f t="shared" si="1017"/>
        <v>0.74374999999999947</v>
      </c>
      <c r="K878" s="4">
        <f t="shared" si="1017"/>
        <v>0.74583333333333224</v>
      </c>
      <c r="L878" s="4">
        <f t="shared" ref="L878" si="1018">IFERROR(L847/L806,"-")</f>
        <v>0.75000000000000011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19">IFERROR(G849/G808,"-")</f>
        <v>0.52799999999999991</v>
      </c>
      <c r="H879" s="4">
        <f t="shared" si="1019"/>
        <v>0.52800000000000025</v>
      </c>
      <c r="I879" s="4">
        <f t="shared" si="1019"/>
        <v>0.52800000000000025</v>
      </c>
      <c r="J879" s="4">
        <f t="shared" si="1019"/>
        <v>0.52800000000000002</v>
      </c>
      <c r="K879" s="4">
        <f t="shared" si="1019"/>
        <v>0.52800000000000014</v>
      </c>
      <c r="L879" s="4">
        <f t="shared" ref="L879" si="1020">IFERROR(L849/L808,"-")</f>
        <v>0.54399999999999971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>
        <f t="shared" si="1023"/>
        <v>0.17621475589685803</v>
      </c>
      <c r="J881" s="4">
        <f t="shared" si="1023"/>
        <v>0.76693601007182899</v>
      </c>
      <c r="K881" s="4">
        <f t="shared" si="1023"/>
        <v>0.79030314278553637</v>
      </c>
      <c r="L881" s="4">
        <f t="shared" ref="L881" si="1024">IFERROR(L853/L814,"-")</f>
        <v>0.80891399492192428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140.1011161858485</v>
      </c>
      <c r="G882" s="17">
        <f t="shared" si="1025"/>
        <v>139.62165103524626</v>
      </c>
      <c r="H882" s="17">
        <f t="shared" si="1025"/>
        <v>132.90645307515027</v>
      </c>
      <c r="I882" s="17">
        <f t="shared" si="1025"/>
        <v>121.43806258000376</v>
      </c>
      <c r="J882" s="17">
        <f t="shared" si="1025"/>
        <v>115.21268671398266</v>
      </c>
      <c r="K882" s="17">
        <f t="shared" si="1025"/>
        <v>108.71624617862386</v>
      </c>
      <c r="L882" s="17">
        <f t="shared" ref="L882" si="1026">L883+L887+L894+L905+L913+L915+L917+L919+L923</f>
        <v>97.017087354308316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60.95001911477857</v>
      </c>
      <c r="G883" s="1">
        <f>[1]Services!C$11</f>
        <v>60.772354402817534</v>
      </c>
      <c r="H883" s="1">
        <f>[1]Services!D$11</f>
        <v>61.494832959948894</v>
      </c>
      <c r="I883" s="1">
        <f>[1]Services!E$11</f>
        <v>60.197752305770265</v>
      </c>
      <c r="J883" s="1">
        <f>[2]Services!F$11</f>
        <v>60.175870021507791</v>
      </c>
      <c r="K883" s="1">
        <f>[2]Services!G$11</f>
        <v>59.713357601910133</v>
      </c>
      <c r="L883" s="1">
        <f>[2]Services!H$11</f>
        <v>56.235871998342475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2.623611347559395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0.64525774438890438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1.0863534867627731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0.59218686148587907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0.50613422111761608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0.41867670636250448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0.29563609791950096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1.3316331923067322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1.4252016667150276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1.8941791642875603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4.2801276602325551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5.5145683277142101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6.8880512963526694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6.9989553513627305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58.701894991713601</v>
      </c>
      <c r="H886" s="1">
        <f>[1]Services!D$11-[1]Services!D$28</f>
        <v>58.514300308898562</v>
      </c>
      <c r="I886" s="1">
        <f>[1]Services!E$11-[1]Services!E$28</f>
        <v>55.325437784051829</v>
      </c>
      <c r="J886" s="1">
        <f>[2]Services!F$11-[2]Services!F$28</f>
        <v>54.155167472675963</v>
      </c>
      <c r="K886" s="1">
        <f>[2]Services!G$11-[2]Services!G$28</f>
        <v>52.406629599194957</v>
      </c>
      <c r="L886" s="1">
        <f>[2]Services!H$11-[2]Services!H$28</f>
        <v>48.941280549060245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30.256635442975568</v>
      </c>
      <c r="G887" s="1">
        <f t="shared" ref="G887:L887" si="1029">G888</f>
        <v>26.711962241580274</v>
      </c>
      <c r="H887" s="1">
        <f t="shared" si="1029"/>
        <v>25.03492476187715</v>
      </c>
      <c r="I887" s="1">
        <f t="shared" si="1029"/>
        <v>13.166761500761949</v>
      </c>
      <c r="J887" s="1">
        <f t="shared" si="1029"/>
        <v>8.9451736253593328</v>
      </c>
      <c r="K887" s="1">
        <f t="shared" si="1029"/>
        <v>3.6171092442199253</v>
      </c>
      <c r="L887" s="1">
        <f t="shared" si="1029"/>
        <v>0.20370887628180392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30.256635442975568</v>
      </c>
      <c r="G888" s="1">
        <f t="shared" ref="G888:K888" si="1030">SUM(G891,G893)</f>
        <v>26.711962241580274</v>
      </c>
      <c r="H888" s="1">
        <f t="shared" si="1030"/>
        <v>25.03492476187715</v>
      </c>
      <c r="I888" s="1">
        <f t="shared" si="1030"/>
        <v>13.166761500761949</v>
      </c>
      <c r="J888" s="1">
        <f t="shared" si="1030"/>
        <v>8.9451736253593328</v>
      </c>
      <c r="K888" s="1">
        <f t="shared" si="1030"/>
        <v>3.6171092442199253</v>
      </c>
      <c r="L888" s="1">
        <f t="shared" ref="L888" si="1031">SUM(L891,L893)</f>
        <v>0.20370887628180392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30.256635442975568</v>
      </c>
      <c r="G889" s="1">
        <f t="shared" ref="G889:L889" si="1032">G890</f>
        <v>26.711962241580274</v>
      </c>
      <c r="H889" s="1">
        <f t="shared" si="1032"/>
        <v>25.034871718255914</v>
      </c>
      <c r="I889" s="1">
        <f t="shared" si="1032"/>
        <v>13.166490615124539</v>
      </c>
      <c r="J889" s="1">
        <f t="shared" si="1032"/>
        <v>8.9448918712344021</v>
      </c>
      <c r="K889" s="1">
        <f t="shared" si="1032"/>
        <v>3.6167544188071843</v>
      </c>
      <c r="L889" s="1">
        <f t="shared" si="1032"/>
        <v>3.2788671909623356E-6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30.256635442975568</v>
      </c>
      <c r="G890" s="1">
        <f>[1]Services!C$12</f>
        <v>26.711962241580274</v>
      </c>
      <c r="H890" s="1">
        <f>[1]Services!D$12</f>
        <v>25.034871718255914</v>
      </c>
      <c r="I890" s="1">
        <f>[1]Services!E$12</f>
        <v>13.166490615124539</v>
      </c>
      <c r="J890" s="1">
        <f>[2]Services!F$12</f>
        <v>8.9448918712344021</v>
      </c>
      <c r="K890" s="1">
        <f>[2]Services!G$12</f>
        <v>3.6167544188071843</v>
      </c>
      <c r="L890" s="1">
        <f>[2]Services!H$12</f>
        <v>3.2788671909623356E-6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30.256635442975568</v>
      </c>
      <c r="G891" s="1">
        <f t="shared" ref="G891:K891" si="1033">G890</f>
        <v>26.711962241580274</v>
      </c>
      <c r="H891" s="1">
        <f t="shared" si="1033"/>
        <v>25.034871718255914</v>
      </c>
      <c r="I891" s="1">
        <f t="shared" si="1033"/>
        <v>13.166490615124539</v>
      </c>
      <c r="J891" s="1">
        <f t="shared" si="1033"/>
        <v>8.9448918712344021</v>
      </c>
      <c r="K891" s="1">
        <f t="shared" si="1033"/>
        <v>3.6167544188071843</v>
      </c>
      <c r="L891" s="1">
        <f t="shared" ref="L891" si="1034">L890</f>
        <v>3.2788671909623356E-6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5.3043621234439793E-5</v>
      </c>
      <c r="I892">
        <f t="shared" si="1035"/>
        <v>2.7088563740898546E-4</v>
      </c>
      <c r="J892">
        <f t="shared" si="1035"/>
        <v>2.8175412493141249E-4</v>
      </c>
      <c r="K892">
        <f t="shared" si="1035"/>
        <v>3.5482541274120164E-4</v>
      </c>
      <c r="L892">
        <f t="shared" si="1035"/>
        <v>0.20370559741461297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5.3043621234439793E-5</v>
      </c>
      <c r="I893">
        <f>[1]Services!E$13</f>
        <v>2.7088563740898546E-4</v>
      </c>
      <c r="J893">
        <f>[2]Services!F$13</f>
        <v>2.8175412493141249E-4</v>
      </c>
      <c r="K893">
        <f>[2]Services!G$13</f>
        <v>3.5482541274120164E-4</v>
      </c>
      <c r="L893">
        <f>[2]Services!H$13</f>
        <v>0.20370559741461297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26.950971312688736</v>
      </c>
      <c r="G894" s="1">
        <f t="shared" ref="G894:K894" si="1036">SUM(G895:G897)</f>
        <v>28.287011570229122</v>
      </c>
      <c r="H894" s="1">
        <f t="shared" si="1036"/>
        <v>24.257364749633251</v>
      </c>
      <c r="I894" s="1">
        <f t="shared" si="1036"/>
        <v>17.828594049905345</v>
      </c>
      <c r="J894" s="1">
        <f t="shared" si="1036"/>
        <v>12.687264533804033</v>
      </c>
      <c r="K894" s="1">
        <f t="shared" si="1036"/>
        <v>8.1675684080424684</v>
      </c>
      <c r="L894" s="1">
        <f t="shared" ref="L894" si="1037">SUM(L895:L897)</f>
        <v>5.1163230252455669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25.54869056142077</v>
      </c>
      <c r="G895" s="1">
        <f>SUM([1]Services!C$14:C$15)</f>
        <v>26.749783935146603</v>
      </c>
      <c r="H895" s="1">
        <f>SUM([1]Services!D$14:D$15)</f>
        <v>23.332636826528052</v>
      </c>
      <c r="I895" s="1">
        <f>SUM([1]Services!E$14:E$15)</f>
        <v>16.359890030903411</v>
      </c>
      <c r="J895" s="1">
        <f>SUM([2]Services!F$14:F$15)</f>
        <v>10.866382031596359</v>
      </c>
      <c r="K895" s="1">
        <f>SUM([2]Services!G$14:G$15)</f>
        <v>5.9601216584094505</v>
      </c>
      <c r="L895" s="1">
        <f>SUM([2]Services!H$14:H$15)</f>
        <v>3.1185883366567593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0.92472792310519969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1.4687040190019338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1.8208825022076744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2.2074467496330175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1.9977346885888074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1.4022807512679647</v>
      </c>
      <c r="G897" s="1">
        <f>[1]Services!C$16</f>
        <v>1.5372276350825202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25.262479884405447</v>
      </c>
      <c r="G898" s="1">
        <f>[1]Services!C$14</f>
        <v>25.340455685886482</v>
      </c>
      <c r="H898" s="1">
        <f>[1]Services!D$14</f>
        <v>23.328627754454242</v>
      </c>
      <c r="I898" s="1">
        <f>[1]Services!E$14</f>
        <v>16.359179731846069</v>
      </c>
      <c r="J898" s="1">
        <f>[2]Services!F$14</f>
        <v>10.866239793365933</v>
      </c>
      <c r="K898" s="1">
        <f>[2]Services!G$14</f>
        <v>5.9403214337424215</v>
      </c>
      <c r="L898" s="1">
        <f>[2]Services!H$14</f>
        <v>2.954294061013504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25.262479884405447</v>
      </c>
      <c r="G899" s="1">
        <f>[1]Services!C$14*IFERROR(G895/SUM(G895:G896),0)</f>
        <v>25.340455685886482</v>
      </c>
      <c r="H899" s="1">
        <f>[1]Services!D$14*IFERROR(H895/SUM(H895:H896),0)</f>
        <v>22.439304709064618</v>
      </c>
      <c r="I899" s="1">
        <f>[1]Services!E$14*IFERROR(I895/SUM(I895:I896),0)</f>
        <v>15.011524782023212</v>
      </c>
      <c r="J899" s="1">
        <f>[2]Services!F$14*IFERROR(J895/SUM(J895:J896),0)</f>
        <v>9.3067116656269384</v>
      </c>
      <c r="K899" s="1">
        <f>[2]Services!G$14*IFERROR(K895/SUM(K895:K896),0)</f>
        <v>4.3348321882800924</v>
      </c>
      <c r="L899" s="1">
        <f>[2]Services!H$14*IFERROR(L895/SUM(L895:L896),0)</f>
        <v>1.8007516249990572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0.8893230453896237</v>
      </c>
      <c r="I900" s="1">
        <f t="shared" si="1041"/>
        <v>1.3476549498228572</v>
      </c>
      <c r="J900" s="1">
        <f t="shared" si="1041"/>
        <v>1.5595281277389947</v>
      </c>
      <c r="K900" s="1">
        <f t="shared" si="1041"/>
        <v>1.6054892454623291</v>
      </c>
      <c r="L900" s="1">
        <f t="shared" ref="L900" si="1042">L898-L899</f>
        <v>1.1535424360144468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1.6884914282832859</v>
      </c>
      <c r="G901" s="1">
        <f>[1]Services!C$15+G904</f>
        <v>2.94655588434264</v>
      </c>
      <c r="H901" s="1">
        <f>[1]Services!D$15+H904</f>
        <v>4.0090720738084739E-3</v>
      </c>
      <c r="I901" s="1">
        <f>[1]Services!E$15+I904</f>
        <v>7.1029905734118731E-4</v>
      </c>
      <c r="J901" s="1">
        <f>[2]Services!F$15+J904</f>
        <v>1.4223823042569319E-4</v>
      </c>
      <c r="K901" s="1">
        <f>[2]Services!G$15+K904</f>
        <v>1.980022466702876E-2</v>
      </c>
      <c r="L901" s="1">
        <f>[2]Services!H$15+L904</f>
        <v>0.16429427564325538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0.28621067701532121</v>
      </c>
      <c r="G902" s="1">
        <f>[1]Services!C$15*G895/SUM(G895:G896)</f>
        <v>1.4093282492601198</v>
      </c>
      <c r="H902" s="1">
        <f>[1]Services!D$15*H895/SUM(H895:H896)</f>
        <v>3.8562401017185124E-3</v>
      </c>
      <c r="I902" s="1">
        <f>[1]Services!E$15*I895/SUM(I895:I896)</f>
        <v>6.5178524086804675E-4</v>
      </c>
      <c r="J902" s="1">
        <f>[2]Services!F$15*J895/SUM(J895:J896)</f>
        <v>1.2182412900634871E-4</v>
      </c>
      <c r="K902" s="1">
        <f>[2]Services!G$15*K895/SUM(K895:K896)</f>
        <v>1.4448822707518062E-2</v>
      </c>
      <c r="L902" s="1">
        <f>[2]Services!H$15*L895/SUM(L895:L896)</f>
        <v>0.10014344467156371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1.5283197208996156E-4</v>
      </c>
      <c r="I903" s="1">
        <f>[1]Services!E$15*I896/SUM(I895:I896)</f>
        <v>5.8513816473140549E-5</v>
      </c>
      <c r="J903" s="1">
        <f>[2]Services!F$15*J896/SUM(J895:J896)</f>
        <v>2.0414101419344499E-5</v>
      </c>
      <c r="K903" s="1">
        <f>[2]Services!G$15*K896/SUM(K895:K896)</f>
        <v>5.351401959510697E-3</v>
      </c>
      <c r="L903" s="1">
        <f>[2]Services!H$15*L896/SUM(L895:L896)</f>
        <v>6.4150830971691664E-2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1.4022807512679647</v>
      </c>
      <c r="G904" s="1">
        <f>[1]Services!C$16</f>
        <v>1.5372276350825202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7.7268894860221771</v>
      </c>
      <c r="G905" s="1">
        <f>[1]Services!C$17</f>
        <v>8.3696959798667194</v>
      </c>
      <c r="H905" s="1">
        <f>[1]Services!D$17</f>
        <v>6.002955333082598</v>
      </c>
      <c r="I905" s="1">
        <f>[1]Services!E$17</f>
        <v>7.5711791153067747</v>
      </c>
      <c r="J905" s="1">
        <f>[2]Services!F$17</f>
        <v>7.8470929283322466</v>
      </c>
      <c r="K905" s="1">
        <f>[2]Services!G$17</f>
        <v>8.2320557529901865</v>
      </c>
      <c r="L905" s="1">
        <f>[2]Services!H$17</f>
        <v>7.5787258958079926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2.1168869481326476</v>
      </c>
      <c r="G906" s="1">
        <f>[1]Services!C$51/0.99</f>
        <v>2.2929923893860185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1.4243051000957792</v>
      </c>
      <c r="G907" s="1">
        <f t="shared" ref="G907:L907" si="1044">IF(G906-SUM(G908:G911)&lt;0,0,G906-SUM(G908:G911))</f>
        <v>1.5542237404967851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0.69258184803686851</v>
      </c>
      <c r="G908" s="1">
        <f t="shared" si="1045"/>
        <v>0.73876864888923344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0</v>
      </c>
      <c r="J911" s="1">
        <f t="shared" si="1050"/>
        <v>6.6036687734192774E-4</v>
      </c>
      <c r="K911" s="1">
        <f t="shared" si="1050"/>
        <v>1.6596439713129782E-2</v>
      </c>
      <c r="L911" s="1">
        <f t="shared" ref="L911" si="1051">L290</f>
        <v>9.3473130537990012E-3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5.61000253788953</v>
      </c>
      <c r="G912" s="1">
        <f t="shared" ref="G912:K912" si="1052">G905-G906</f>
        <v>6.076703590480701</v>
      </c>
      <c r="H912" s="1">
        <f t="shared" si="1052"/>
        <v>6.002955333082598</v>
      </c>
      <c r="I912" s="1">
        <f t="shared" si="1052"/>
        <v>7.5711791153067747</v>
      </c>
      <c r="J912" s="1">
        <f t="shared" si="1052"/>
        <v>7.8470929283322466</v>
      </c>
      <c r="K912" s="1">
        <f t="shared" si="1052"/>
        <v>8.2320557529901865</v>
      </c>
      <c r="L912" s="1">
        <f t="shared" ref="L912" si="1053">L905-L906</f>
        <v>7.5787258958079926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8.5743701770305147</v>
      </c>
      <c r="G913" s="1">
        <f t="shared" ref="G913:L913" si="1054">G914</f>
        <v>9.2007421364112503</v>
      </c>
      <c r="H913" s="1">
        <f t="shared" si="1054"/>
        <v>11.047769280368991</v>
      </c>
      <c r="I913" s="1">
        <f t="shared" si="1054"/>
        <v>10.73008936713881</v>
      </c>
      <c r="J913" s="1">
        <f t="shared" si="1054"/>
        <v>9.5367404009104249</v>
      </c>
      <c r="K913" s="1">
        <f t="shared" si="1054"/>
        <v>8.0112539145458985</v>
      </c>
      <c r="L913" s="1">
        <f t="shared" si="1054"/>
        <v>5.0865836829252329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8.5743701770305147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9.2007421364112503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11.047769280368991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10.73008936713881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9.5367404009104249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8.0112539145458985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5.0865836829252329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2.0856364051966532</v>
      </c>
      <c r="G915" s="1">
        <f t="shared" ref="G915:L915" si="1055">G916</f>
        <v>2.4000932528858097</v>
      </c>
      <c r="H915" s="1">
        <f t="shared" si="1055"/>
        <v>1.0004291084944199</v>
      </c>
      <c r="I915" s="1">
        <f t="shared" si="1055"/>
        <v>1.2392968316166877</v>
      </c>
      <c r="J915" s="1">
        <f t="shared" si="1055"/>
        <v>1.3468856109455358</v>
      </c>
      <c r="K915" s="1">
        <f t="shared" si="1055"/>
        <v>1.4543391200191005</v>
      </c>
      <c r="L915" s="1">
        <f t="shared" si="1055"/>
        <v>1.2189275656071166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2.0856364051966532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2.4000932528858097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1.0004291084944199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1.2392968316166877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1.3468856109455358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1.4543391200191005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1.2189275656071166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0.62700122408148329</v>
      </c>
      <c r="G917" s="1">
        <f t="shared" ref="G917:L917" si="1056">G918</f>
        <v>0.68733971801391502</v>
      </c>
      <c r="H917" s="1">
        <f t="shared" si="1056"/>
        <v>0.56365441229425606</v>
      </c>
      <c r="I917" s="1">
        <f t="shared" si="1056"/>
        <v>0.76022353282875832</v>
      </c>
      <c r="J917" s="1">
        <f t="shared" si="1056"/>
        <v>0.89834626775079296</v>
      </c>
      <c r="K917" s="1">
        <f t="shared" si="1056"/>
        <v>1.1057106167603146</v>
      </c>
      <c r="L917" s="1">
        <f t="shared" si="1056"/>
        <v>1.2662947576408834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0.62700122408148329</v>
      </c>
      <c r="G918" s="1">
        <f>[1]Services!C$19</f>
        <v>0.68733971801391502</v>
      </c>
      <c r="H918" s="1">
        <f>[1]Services!D$19</f>
        <v>0.56365441229425606</v>
      </c>
      <c r="I918" s="1">
        <f>[1]Services!E$19</f>
        <v>0.76022353282875832</v>
      </c>
      <c r="J918" s="1">
        <f>[2]Services!F$19</f>
        <v>0.89834626775079296</v>
      </c>
      <c r="K918" s="1">
        <f>[2]Services!G$19</f>
        <v>1.1057106167603146</v>
      </c>
      <c r="L918" s="1">
        <f>[2]Services!H$19</f>
        <v>1.2662947576408834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6.8942435610445441E-4</v>
      </c>
      <c r="K919" s="1">
        <f>[2]Services!G$20</f>
        <v>1.1974828444736059E-2</v>
      </c>
      <c r="L919" s="1">
        <f>[2]Services!H$20</f>
        <v>7.7058743334176595E-3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0</v>
      </c>
      <c r="J921" s="1">
        <f t="shared" si="1059"/>
        <v>6.8942435610445441E-4</v>
      </c>
      <c r="K921" s="1">
        <f t="shared" si="1059"/>
        <v>1.1974828444736059E-2</v>
      </c>
      <c r="L921" s="1">
        <f t="shared" si="1059"/>
        <v>7.7058743334176595E-3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6.8942435610445441E-4</v>
      </c>
      <c r="K922" s="1">
        <f>[2]Services!G$20</f>
        <v>1.1974828444736059E-2</v>
      </c>
      <c r="L922" s="1">
        <f>[2]Services!H$20</f>
        <v>7.7058743334176595E-3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2.9295930230748137</v>
      </c>
      <c r="G923" s="1">
        <f t="shared" ref="G923:L923" si="1060">G924</f>
        <v>3.1924517334416622</v>
      </c>
      <c r="H923" s="1">
        <f t="shared" si="1060"/>
        <v>3.5045224694507011</v>
      </c>
      <c r="I923" s="1">
        <f t="shared" si="1060"/>
        <v>9.9441658766751715</v>
      </c>
      <c r="J923" s="1">
        <f t="shared" si="1060"/>
        <v>13.774623901016396</v>
      </c>
      <c r="K923" s="1">
        <f t="shared" si="1060"/>
        <v>18.402876691691095</v>
      </c>
      <c r="L923" s="1">
        <f t="shared" si="1060"/>
        <v>20.302945678123834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2.9295930230748137</v>
      </c>
      <c r="G924" s="1">
        <f>[1]Services!C$21-G925</f>
        <v>3.1924517334416622</v>
      </c>
      <c r="H924" s="1">
        <f>[1]Services!D$21-H925</f>
        <v>3.5045224694507011</v>
      </c>
      <c r="I924" s="1">
        <f>[1]Services!E$21-I925</f>
        <v>9.9441658766751715</v>
      </c>
      <c r="J924" s="1">
        <f>[2]Services!F$21-J925</f>
        <v>13.774623901016396</v>
      </c>
      <c r="K924" s="1">
        <f>[2]Services!G$21-K925</f>
        <v>18.402876691691095</v>
      </c>
      <c r="L924" s="1">
        <f>[2]Services!H$21-L925</f>
        <v>20.302945678123834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0.85377370512908013</v>
      </c>
      <c r="I925" s="1">
        <f>[1]Services!E$50-I896</f>
        <v>1.5144050870563672</v>
      </c>
      <c r="J925" s="1">
        <f>[2]Services!F$50-J896</f>
        <v>2.0245312561537947</v>
      </c>
      <c r="K925" s="1">
        <f>[2]Services!G$50-K896</f>
        <v>2.6289143148258289</v>
      </c>
      <c r="L925" s="1">
        <f>[2]Services!H$50-L896</f>
        <v>2.7802522717275249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73.238370376014828</v>
      </c>
      <c r="G926" s="17">
        <f>[1]Services!C$59</f>
        <v>78.574038893401394</v>
      </c>
      <c r="H926" s="17">
        <f>[1]Services!D$59</f>
        <v>62.446248695977559</v>
      </c>
      <c r="I926" s="17">
        <f>[1]Services!E$59</f>
        <v>60.789093754617781</v>
      </c>
      <c r="J926" s="17">
        <f>[2]Services!F$59</f>
        <v>60.050312693881551</v>
      </c>
      <c r="K926" s="17">
        <f>[2]Services!G$59</f>
        <v>59.801792246421741</v>
      </c>
      <c r="L926" s="17">
        <f>[2]Services!H$59</f>
        <v>58.222315273027526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63.650046144941939</v>
      </c>
      <c r="G927" s="1">
        <f t="shared" ref="G927:K927" si="1063">SUM(G928:G930)</f>
        <v>63.909959227986135</v>
      </c>
      <c r="H927" s="1">
        <f t="shared" si="1063"/>
        <v>64.428507400046158</v>
      </c>
      <c r="I927" s="1">
        <f t="shared" si="1063"/>
        <v>69.84327497966791</v>
      </c>
      <c r="J927" s="1">
        <f t="shared" si="1063"/>
        <v>73.697977556034203</v>
      </c>
      <c r="K927" s="1">
        <f t="shared" si="1063"/>
        <v>77.912421667262464</v>
      </c>
      <c r="L927" s="1">
        <f t="shared" ref="L927" si="1064">SUM(L928:L930)</f>
        <v>76.40185293052555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2.394045354647949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0.5904108361158471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0.5155054574093475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0.29354365870835797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0.25361785462763237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0.21486408002372692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0.15867135197874258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4.2612262153815461</v>
      </c>
      <c r="G929" s="1">
        <f>[1]Services!C$47</f>
        <v>4.6176534001566898</v>
      </c>
      <c r="H929" s="1">
        <f>[1]Services!D$47</f>
        <v>5.3987016337382618</v>
      </c>
      <c r="I929" s="1">
        <f>[1]Services!E$47</f>
        <v>14.224293536907727</v>
      </c>
      <c r="J929" s="1">
        <f>[2]Services!F$47</f>
        <v>19.289192228730602</v>
      </c>
      <c r="K929" s="1">
        <f>[2]Services!G$47</f>
        <v>25.290927988043766</v>
      </c>
      <c r="L929" s="1">
        <f>[2]Services!H$47</f>
        <v>27.301901029486569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58.701894991713601</v>
      </c>
      <c r="H930" s="1">
        <f>[1]Services!D$3-([1]Services!D$6-[1]Services!D$58)</f>
        <v>58.514300308898555</v>
      </c>
      <c r="I930" s="1">
        <f>[1]Services!E$3-([1]Services!E$6-[1]Services!E$58)</f>
        <v>55.325437784051829</v>
      </c>
      <c r="J930" s="1">
        <f>[2]Services!F$3-([2]Services!F$6-[2]Services!F$58)</f>
        <v>54.15516747267597</v>
      </c>
      <c r="K930" s="1">
        <f>[2]Services!G$3-([2]Services!G$6-[2]Services!G$58)</f>
        <v>52.406629599194964</v>
      </c>
      <c r="L930" s="1">
        <f>[2]Services!H$3-([2]Services!H$6-[2]Services!H$58)</f>
        <v>48.941280549060238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24.843070768129444</v>
      </c>
      <c r="G931" s="1">
        <f t="shared" ref="G931:L931" si="1067">G932</f>
        <v>21.976046979083062</v>
      </c>
      <c r="H931" s="1">
        <f t="shared" si="1067"/>
        <v>19.733985705602667</v>
      </c>
      <c r="I931" s="1">
        <f t="shared" si="1067"/>
        <v>10.756635263478749</v>
      </c>
      <c r="J931" s="1">
        <f t="shared" si="1067"/>
        <v>7.3077931920398163</v>
      </c>
      <c r="K931" s="1">
        <f t="shared" si="1067"/>
        <v>2.9550109832231253</v>
      </c>
      <c r="L931" s="1">
        <f t="shared" si="1067"/>
        <v>0.16858318875153602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24.843070768129444</v>
      </c>
      <c r="G932" s="1">
        <f>[1]Services!C$48</f>
        <v>21.976046979083062</v>
      </c>
      <c r="H932" s="1">
        <f>[1]Services!D$48</f>
        <v>19.733985705602667</v>
      </c>
      <c r="I932" s="1">
        <f>[1]Services!E$48</f>
        <v>10.756635263478749</v>
      </c>
      <c r="J932" s="1">
        <f>[2]Services!F$48</f>
        <v>7.3077931920398163</v>
      </c>
      <c r="K932" s="1">
        <f>[2]Services!G$48</f>
        <v>2.9550109832231253</v>
      </c>
      <c r="L932" s="1">
        <f>[2]Services!H$48</f>
        <v>0.16858318875153602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25.412786930473494</v>
      </c>
      <c r="G933" s="1">
        <f t="shared" ref="G933:K933" si="1068">SUM(G934:G936)</f>
        <v>26.667693030851453</v>
      </c>
      <c r="H933" s="1">
        <f t="shared" si="1068"/>
        <v>20.861616713472117</v>
      </c>
      <c r="I933" s="1">
        <f t="shared" si="1068"/>
        <v>15.831932945454708</v>
      </c>
      <c r="J933" s="1">
        <f t="shared" si="1068"/>
        <v>11.65089602093369</v>
      </c>
      <c r="K933" s="1">
        <f t="shared" si="1068"/>
        <v>8.0846799862643373</v>
      </c>
      <c r="L933" s="1">
        <f t="shared" ref="L933" si="1069">SUM(L934:L936)</f>
        <v>5.7517618150538397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24.189717659217575</v>
      </c>
      <c r="G934" s="1">
        <f>[1]Services!C$49</f>
        <v>25.326923087532478</v>
      </c>
      <c r="H934" s="1">
        <f>[1]Services!D$49</f>
        <v>19.083115085237836</v>
      </c>
      <c r="I934" s="1">
        <f>[1]Services!E$49</f>
        <v>12.848823839396408</v>
      </c>
      <c r="J934" s="1">
        <f>[2]Services!F$49</f>
        <v>7.8054822625722213</v>
      </c>
      <c r="K934" s="1">
        <f>[2]Services!G$49</f>
        <v>3.2483189218054913</v>
      </c>
      <c r="L934" s="1">
        <f>[2]Services!H$49</f>
        <v>0.97377485473750691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1.7785016282342798</v>
      </c>
      <c r="I935" s="1">
        <f>[1]Services!E$50</f>
        <v>2.983109106058301</v>
      </c>
      <c r="J935" s="1">
        <f>[2]Services!F$50</f>
        <v>3.8454137583614694</v>
      </c>
      <c r="K935" s="1">
        <f>[2]Services!G$50</f>
        <v>4.8363610644588464</v>
      </c>
      <c r="L935" s="1">
        <f>[2]Services!H$50</f>
        <v>4.7779869603163325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1.2230692712559188</v>
      </c>
      <c r="G936" s="1">
        <f>[1]Services!C$56</f>
        <v>1.3407699433189733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7.6496205911619537</v>
      </c>
      <c r="G937" s="1">
        <f t="shared" ref="G937:K937" si="1074">G938+G944</f>
        <v>8.2859990200680489</v>
      </c>
      <c r="H937" s="1">
        <f t="shared" si="1074"/>
        <v>4.9230940448618936</v>
      </c>
      <c r="I937" s="1">
        <f t="shared" si="1074"/>
        <v>6.237591749533359</v>
      </c>
      <c r="J937" s="1">
        <f t="shared" si="1074"/>
        <v>6.4649061080367023</v>
      </c>
      <c r="K937" s="1">
        <f t="shared" si="1074"/>
        <v>6.782061587043783</v>
      </c>
      <c r="L937" s="1">
        <f t="shared" ref="L937" si="1075">L938+L944</f>
        <v>6.2438092402402763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2.0957180786513212</v>
      </c>
      <c r="G938" s="1">
        <f>[1]Services!C$51</f>
        <v>2.2700624654921584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1.4100620490948212</v>
      </c>
      <c r="G939" s="1">
        <f t="shared" ref="G939:K939" si="1076">IFERROR(G907/G$906,0)*G$938</f>
        <v>1.5386815030918173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0.68565602955649985</v>
      </c>
      <c r="G940" s="1">
        <f t="shared" ref="G940:K943" si="1078">IFERROR(G908/G$906,0)*G$938</f>
        <v>0.73138096240034112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5.5539025125106321</v>
      </c>
      <c r="G944" s="1">
        <f>[1]Services!C$52</f>
        <v>6.0159365545758909</v>
      </c>
      <c r="H944" s="1">
        <f>[1]Services!D$52</f>
        <v>4.9230940448618936</v>
      </c>
      <c r="I944" s="1">
        <f>[1]Services!E$52</f>
        <v>6.237591749533359</v>
      </c>
      <c r="J944" s="1">
        <f>[2]Services!F$52</f>
        <v>6.4649061080367023</v>
      </c>
      <c r="K944" s="1">
        <f>[2]Services!G$52</f>
        <v>6.782061587043783</v>
      </c>
      <c r="L944" s="1">
        <f>[2]Services!H$52</f>
        <v>6.2438092402402763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6.1735465274619692</v>
      </c>
      <c r="G945" s="1">
        <f t="shared" ref="G945:L945" si="1083">G946</f>
        <v>6.6245343382161019</v>
      </c>
      <c r="H945" s="1">
        <f t="shared" si="1083"/>
        <v>7.4687934732896508</v>
      </c>
      <c r="I945" s="1">
        <f t="shared" si="1083"/>
        <v>7.2566040783520016</v>
      </c>
      <c r="J945" s="1">
        <f t="shared" si="1083"/>
        <v>6.4495594509558387</v>
      </c>
      <c r="K945" s="1">
        <f t="shared" si="1083"/>
        <v>5.4408008090956219</v>
      </c>
      <c r="L945" s="1">
        <f t="shared" si="1083"/>
        <v>3.5388874593046236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6.1735465274619692</v>
      </c>
      <c r="G946" s="1">
        <f>[1]Services!C$53</f>
        <v>6.6245343382161019</v>
      </c>
      <c r="H946" s="1">
        <f>[1]Services!D$53</f>
        <v>7.4687934732896508</v>
      </c>
      <c r="I946" s="1">
        <f>[1]Services!E$53</f>
        <v>7.2566040783520016</v>
      </c>
      <c r="J946" s="1">
        <f>[2]Services!F$53</f>
        <v>6.4495594509558387</v>
      </c>
      <c r="K946" s="1">
        <f>[2]Services!G$53</f>
        <v>5.4408008090956219</v>
      </c>
      <c r="L946" s="1">
        <f>[2]Services!H$53</f>
        <v>3.5388874593046236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1.8770727646769874</v>
      </c>
      <c r="G947" s="1">
        <f t="shared" ref="G947:L947" si="1084">G948</f>
        <v>2.1600839275972281</v>
      </c>
      <c r="H947" s="1">
        <f t="shared" si="1084"/>
        <v>0.66642970074782548</v>
      </c>
      <c r="I947" s="1">
        <f t="shared" si="1084"/>
        <v>0.83015832249815691</v>
      </c>
      <c r="J947" s="1">
        <f t="shared" si="1084"/>
        <v>0.90288671767887707</v>
      </c>
      <c r="K947" s="1">
        <f t="shared" si="1084"/>
        <v>0.97688154776075631</v>
      </c>
      <c r="L947" s="1">
        <f t="shared" si="1084"/>
        <v>0.81875528926354624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1.8770727646769874</v>
      </c>
      <c r="G948" s="1">
        <f>[1]Services!C$54</f>
        <v>2.1600839275972281</v>
      </c>
      <c r="H948" s="1">
        <f>[1]Services!D$54</f>
        <v>0.66642970074782548</v>
      </c>
      <c r="I948" s="1">
        <f>[1]Services!E$54</f>
        <v>0.83015832249815691</v>
      </c>
      <c r="J948" s="1">
        <f>[2]Services!F$54</f>
        <v>0.90288671767887707</v>
      </c>
      <c r="K948" s="1">
        <f>[2]Services!G$54</f>
        <v>0.97688154776075631</v>
      </c>
      <c r="L948" s="1">
        <f>[2]Services!H$54</f>
        <v>0.81875528926354624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0.62700122408148329</v>
      </c>
      <c r="G949" s="1">
        <f t="shared" ref="G949:L949" si="1085">G950</f>
        <v>0.68733971801391502</v>
      </c>
      <c r="H949" s="1">
        <f t="shared" si="1085"/>
        <v>0.56365441229425606</v>
      </c>
      <c r="I949" s="1">
        <f t="shared" si="1085"/>
        <v>0.76022353282875832</v>
      </c>
      <c r="J949" s="1">
        <f t="shared" si="1085"/>
        <v>0.89834626775079296</v>
      </c>
      <c r="K949" s="1">
        <f t="shared" si="1085"/>
        <v>1.1057106167603146</v>
      </c>
      <c r="L949" s="1">
        <f t="shared" si="1085"/>
        <v>1.2662947576408834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0.62700122408148329</v>
      </c>
      <c r="G950" s="1">
        <f>[1]Services!C$55</f>
        <v>0.68733971801391502</v>
      </c>
      <c r="H950" s="1">
        <f>[1]Services!D$55</f>
        <v>0.56365441229425606</v>
      </c>
      <c r="I950" s="1">
        <f>[1]Services!E$55</f>
        <v>0.76022353282875832</v>
      </c>
      <c r="J950" s="1">
        <f>[2]Services!F$55</f>
        <v>0.89834626775079296</v>
      </c>
      <c r="K950" s="1">
        <f>[2]Services!G$55</f>
        <v>1.1057106167603146</v>
      </c>
      <c r="L950" s="1">
        <f>[2]Services!H$55</f>
        <v>1.2662947576408834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6.9642776432990354</v>
      </c>
      <c r="H953" s="1">
        <f>[1]Services!D$58</f>
        <v>2.3144675545615399</v>
      </c>
      <c r="I953" s="1">
        <f>[1]Services!E$58</f>
        <v>4.5981106668559626</v>
      </c>
      <c r="J953" s="1">
        <f>[2]Services!F$58</f>
        <v>6.8331148531276078</v>
      </c>
      <c r="K953" s="1">
        <f>[2]Services!G$58</f>
        <v>8.9508546482063078</v>
      </c>
      <c r="L953" s="1">
        <f>[2]Services!H$58</f>
        <v>12.973651141307506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0.91250000000000042</v>
      </c>
      <c r="G955" s="4">
        <f t="shared" si="1089"/>
        <v>0.91499999999999937</v>
      </c>
      <c r="H955" s="4">
        <f t="shared" si="1089"/>
        <v>0.47452828539769615</v>
      </c>
      <c r="I955" s="4">
        <f t="shared" si="1089"/>
        <v>0.49569431171069239</v>
      </c>
      <c r="J955" s="4">
        <f t="shared" si="1089"/>
        <v>0.50108813837485289</v>
      </c>
      <c r="K955" s="4">
        <f t="shared" si="1089"/>
        <v>0.5131980756476342</v>
      </c>
      <c r="L955" s="4">
        <f t="shared" ref="L955" si="1090">IFERROR(L928/L884,"-")</f>
        <v>0.53671169757472359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3.2000000000000024</v>
      </c>
      <c r="G956" s="4">
        <f t="shared" si="1089"/>
        <v>3.24</v>
      </c>
      <c r="H956" s="4">
        <f t="shared" si="1089"/>
        <v>2.8501536367436628</v>
      </c>
      <c r="I956" s="4">
        <f t="shared" si="1089"/>
        <v>3.323333943767198</v>
      </c>
      <c r="J956" s="4">
        <f t="shared" si="1089"/>
        <v>3.4978607721279205</v>
      </c>
      <c r="K956" s="4">
        <f t="shared" si="1089"/>
        <v>3.6717101688014004</v>
      </c>
      <c r="L956" s="4">
        <f t="shared" ref="L956" si="1091">IFERROR(L929/L885,"-")</f>
        <v>3.9008537215729997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1</v>
      </c>
      <c r="G957" s="4">
        <f t="shared" si="1089"/>
        <v>1</v>
      </c>
      <c r="H957" s="4">
        <f t="shared" si="1089"/>
        <v>0.99999999999999989</v>
      </c>
      <c r="I957" s="4">
        <f t="shared" si="1089"/>
        <v>1</v>
      </c>
      <c r="J957" s="4">
        <f t="shared" si="1089"/>
        <v>1.0000000000000002</v>
      </c>
      <c r="K957" s="4">
        <f t="shared" si="1089"/>
        <v>1.0000000000000002</v>
      </c>
      <c r="L957" s="4">
        <f t="shared" ref="L957" si="1092">IFERROR(L930/L886,"-")</f>
        <v>0.99999999999999989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0.82107843137254888</v>
      </c>
      <c r="G958" s="4">
        <f t="shared" si="1093"/>
        <v>0.82270432925645542</v>
      </c>
      <c r="H958" s="4">
        <f t="shared" si="1093"/>
        <v>0.78825823897235425</v>
      </c>
      <c r="I958" s="4">
        <f t="shared" si="1093"/>
        <v>0.81695375608165099</v>
      </c>
      <c r="J958" s="4">
        <f t="shared" si="1093"/>
        <v>0.81695375608164988</v>
      </c>
      <c r="K958" s="4">
        <f t="shared" si="1093"/>
        <v>0.81695375608164977</v>
      </c>
      <c r="L958" s="4">
        <f t="shared" ref="L958" si="1094">IFERROR(L932/L888,"-")</f>
        <v>0.82756918514598143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0.94680851063829929</v>
      </c>
      <c r="G959" s="4">
        <f t="shared" si="1095"/>
        <v>0.94680851063829996</v>
      </c>
      <c r="H959" s="4">
        <f t="shared" si="1095"/>
        <v>0.81787220309113451</v>
      </c>
      <c r="I959" s="4">
        <f t="shared" si="1095"/>
        <v>0.78538570950815134</v>
      </c>
      <c r="J959" s="4">
        <f t="shared" si="1095"/>
        <v>0.71831472884683156</v>
      </c>
      <c r="K959" s="4">
        <f t="shared" si="1095"/>
        <v>0.54500882833864084</v>
      </c>
      <c r="L959" s="4">
        <f t="shared" ref="L959" si="1096">IFERROR(L934/L895,"-")</f>
        <v>0.31224860405314964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1.9232701682265005</v>
      </c>
      <c r="I960" s="4">
        <f t="shared" si="1095"/>
        <v>2.0311165949457193</v>
      </c>
      <c r="J960" s="4">
        <f t="shared" si="1095"/>
        <v>2.1118406891708896</v>
      </c>
      <c r="K960" s="4">
        <f t="shared" si="1095"/>
        <v>2.1909298900473497</v>
      </c>
      <c r="L960" s="4">
        <f t="shared" ref="L960" si="1097">IFERROR(L935/L896,"-")</f>
        <v>2.3917024555905795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0.87219999999999998</v>
      </c>
      <c r="G961" s="4">
        <f t="shared" si="1095"/>
        <v>0.87219999999999942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 t="str">
        <f t="shared" si="1099"/>
        <v>-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0.98999999999999955</v>
      </c>
      <c r="G967" s="4">
        <f t="shared" si="1099"/>
        <v>0.98999999999999955</v>
      </c>
      <c r="H967" s="4">
        <f t="shared" si="1099"/>
        <v>0.82011172359228912</v>
      </c>
      <c r="I967" s="4">
        <f t="shared" si="1099"/>
        <v>0.8238600163246329</v>
      </c>
      <c r="J967" s="4">
        <f t="shared" si="1099"/>
        <v>0.82386001632463113</v>
      </c>
      <c r="K967" s="4">
        <f t="shared" si="1099"/>
        <v>0.8238600163246329</v>
      </c>
      <c r="L967" s="4">
        <f t="shared" ref="L967" si="1105">IFERROR(L944/L912,"-")</f>
        <v>0.82386001632463102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0.71999999999999986</v>
      </c>
      <c r="G968" s="4">
        <f t="shared" si="1106"/>
        <v>0.7200000000000002</v>
      </c>
      <c r="H968" s="4">
        <f t="shared" si="1106"/>
        <v>0.67604538832659222</v>
      </c>
      <c r="I968" s="4">
        <f t="shared" si="1106"/>
        <v>0.67628552102981998</v>
      </c>
      <c r="J968" s="4">
        <f t="shared" si="1106"/>
        <v>0.67628552102981976</v>
      </c>
      <c r="K968" s="4">
        <f t="shared" si="1106"/>
        <v>0.67914472155436889</v>
      </c>
      <c r="L968" s="4">
        <f t="shared" ref="L968" si="1107">IFERROR(L946/L913,"-")</f>
        <v>0.69572972350460816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0.8999999999999998</v>
      </c>
      <c r="G969" s="4">
        <f t="shared" si="1108"/>
        <v>0.8999999999999998</v>
      </c>
      <c r="H969" s="4">
        <f t="shared" si="1108"/>
        <v>0.66614385276209964</v>
      </c>
      <c r="I969" s="4">
        <f t="shared" si="1108"/>
        <v>0.66986237785761027</v>
      </c>
      <c r="J969" s="4">
        <f t="shared" si="1108"/>
        <v>0.67035144658278423</v>
      </c>
      <c r="K969" s="4">
        <f t="shared" si="1108"/>
        <v>0.67170134827145855</v>
      </c>
      <c r="L969" s="4">
        <f t="shared" ref="L969" si="1109">IFERROR(L948/L916,"-")</f>
        <v>0.671701348271458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 t="str">
        <f t="shared" si="1112"/>
        <v>-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219.89598865025798</v>
      </c>
      <c r="G972" s="3">
        <f>[1]Residential!C$26</f>
        <v>217.90797142594965</v>
      </c>
      <c r="H972" s="3">
        <f>[1]Residential!D$26</f>
        <v>219.9141550977904</v>
      </c>
      <c r="I972" s="3">
        <f>[1]Residential!E$26</f>
        <v>200.5803524655754</v>
      </c>
      <c r="J972" s="3">
        <f>[2]Residential!F$26</f>
        <v>190.85751396825736</v>
      </c>
      <c r="K972" s="3">
        <f>[2]Residential!G$26</f>
        <v>182.1176291924121</v>
      </c>
      <c r="L972" s="3">
        <f>[2]Residential!H$26</f>
        <v>165.56131071814337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69.470060404383588</v>
      </c>
      <c r="G973" s="1">
        <f>[1]Residential!C$15</f>
        <v>70.028419034212675</v>
      </c>
      <c r="H973" s="1">
        <f>[1]Residential!D$15</f>
        <v>70.195064446585747</v>
      </c>
      <c r="I973" s="1">
        <f>[1]Residential!E$15</f>
        <v>70.902947905216507</v>
      </c>
      <c r="J973" s="1">
        <f>[2]Residential!F$15</f>
        <v>71.834591396611543</v>
      </c>
      <c r="K973" s="1">
        <f>[2]Residential!G$15</f>
        <v>72.466173269645054</v>
      </c>
      <c r="L973" s="1">
        <f>[2]Residential!H$15</f>
        <v>67.234155641868412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15.333228634729034</v>
      </c>
      <c r="G974" s="1">
        <f t="shared" ref="G974:K974" si="1114">SUM(G975:G976)</f>
        <v>15.081928039207174</v>
      </c>
      <c r="H974" s="1">
        <f t="shared" si="1114"/>
        <v>11.944219292051274</v>
      </c>
      <c r="I974" s="1">
        <f t="shared" si="1114"/>
        <v>15.633188726364683</v>
      </c>
      <c r="J974" s="1">
        <f t="shared" si="1114"/>
        <v>16.994641432788196</v>
      </c>
      <c r="K974" s="1">
        <f t="shared" si="1114"/>
        <v>18.443525867329654</v>
      </c>
      <c r="L974" s="1">
        <f t="shared" ref="L974" si="1115">SUM(L975:L976)</f>
        <v>16.778767779739571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9.3768657011238261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8.2977861429770421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0.89720985770953732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0.22480663729672384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2.9991345410465907E-2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1.8738363716423498E-2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1.4013911205263702E-2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5.9563629336052077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6.7841418962301328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11.047009434341737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15.40838208906796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16.964650087377731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18.424787503613231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16.764753868534306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9.559925621554715</v>
      </c>
      <c r="G977" s="1">
        <f t="shared" ref="G977:K977" si="1119">SUM(G978:G979)</f>
        <v>10.085309402063864</v>
      </c>
      <c r="H977" s="1">
        <f t="shared" si="1119"/>
        <v>8.7279011851594213</v>
      </c>
      <c r="I977" s="1">
        <f t="shared" si="1119"/>
        <v>8.3518148933313121</v>
      </c>
      <c r="J977" s="1">
        <f t="shared" si="1119"/>
        <v>8.9361968882158447</v>
      </c>
      <c r="K977" s="1">
        <f t="shared" si="1119"/>
        <v>9.6226402070096881</v>
      </c>
      <c r="L977" s="1">
        <f t="shared" ref="L977" si="1120">SUM(L978:L979)</f>
        <v>9.6385822356107056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8.4110229857335206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8.7988757749352704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6.041978286803384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4.0835549243926144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3.7030997419367235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3.4001510176479375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3.0045931884422776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1.1489026358211949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1.286433627128593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2.6859228983560364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4.2682599689386986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5.2330971462791211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6.2224891893617515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6.6339890471684289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44.576906148099837</v>
      </c>
      <c r="G980" s="1">
        <f>[1]Residential!C$3-([1]Residential!C$10-[1]Residential!C$244)</f>
        <v>44.861181592941641</v>
      </c>
      <c r="H980" s="1">
        <f>[1]Residential!D$3-([1]Residential!D$10-[1]Residential!D$244)</f>
        <v>49.522943969375056</v>
      </c>
      <c r="I980" s="1">
        <f>[1]Residential!E$3-([1]Residential!E$10-[1]Residential!E$244)</f>
        <v>46.917944285520505</v>
      </c>
      <c r="J980" s="1">
        <f>[2]Residential!F$3-([2]Residential!F$10-[2]Residential!F$244)</f>
        <v>45.903753075607497</v>
      </c>
      <c r="K980" s="1">
        <f>[2]Residential!G$3-([2]Residential!G$10-[2]Residential!G$244)</f>
        <v>44.400007195305704</v>
      </c>
      <c r="L980" s="1">
        <f>[2]Residential!H$3-([2]Residential!H$10-[2]Residential!H$244)</f>
        <v>40.816805626518132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60.231842150000347</v>
      </c>
      <c r="G981" s="1">
        <f>SUM([1]Residential!C$16:C$17)</f>
        <v>51.320023057297085</v>
      </c>
      <c r="H981" s="1">
        <f>SUM([1]Residential!D$16:D$17)</f>
        <v>49.079543117832543</v>
      </c>
      <c r="I981" s="1">
        <f>SUM([1]Residential!E$16:E$17)</f>
        <v>23.17791232723425</v>
      </c>
      <c r="J981" s="1">
        <f>SUM([2]Residential!F$16:F$17)</f>
        <v>14.461506772112704</v>
      </c>
      <c r="K981" s="1">
        <f>SUM([2]Residential!G$16:G$17)</f>
        <v>5.1983223379240622</v>
      </c>
      <c r="L981" s="1">
        <f>SUM([2]Residential!H$16:H$17)</f>
        <v>0.44673689912601189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60.231842150000347</v>
      </c>
      <c r="G982" s="1">
        <f>[1]Residential!C$16</f>
        <v>51.320023057297085</v>
      </c>
      <c r="H982" s="1">
        <f>[1]Residential!D$16</f>
        <v>49.07948986935957</v>
      </c>
      <c r="I982" s="1">
        <f>[1]Residential!E$16</f>
        <v>23.177639149596668</v>
      </c>
      <c r="J982" s="1">
        <f>[2]Residential!F$16</f>
        <v>14.461224435372198</v>
      </c>
      <c r="K982" s="1">
        <f>[2]Residential!G$16</f>
        <v>5.1979638817017717</v>
      </c>
      <c r="L982" s="1">
        <f>[2]Residential!H$16</f>
        <v>3.6075674790361788E-6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5.3248472976151248E-5</v>
      </c>
      <c r="I983" s="1">
        <f>[1]Residential!E$17</f>
        <v>2.7317763758268071E-4</v>
      </c>
      <c r="J983" s="1">
        <f>[2]Residential!F$17</f>
        <v>2.823367405052055E-4</v>
      </c>
      <c r="K983" s="1">
        <f>[2]Residential!G$17</f>
        <v>3.5845622229029728E-4</v>
      </c>
      <c r="L983" s="1">
        <f>[2]Residential!H$17</f>
        <v>0.44673329155853286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50.371423630792059</v>
      </c>
      <c r="G984" s="1">
        <f t="shared" ref="G984:K984" si="1123">SUM(G986,G988)</f>
        <v>43.556300630674521</v>
      </c>
      <c r="H984" s="1">
        <f t="shared" si="1123"/>
        <v>40.212993509395503</v>
      </c>
      <c r="I984" s="1">
        <f t="shared" si="1123"/>
        <v>19.498817937171623</v>
      </c>
      <c r="J984" s="1">
        <f t="shared" si="1123"/>
        <v>12.10397363647019</v>
      </c>
      <c r="K984" s="1">
        <f t="shared" si="1123"/>
        <v>4.1243825488374108</v>
      </c>
      <c r="L984" s="1">
        <f t="shared" ref="L984" si="1124">SUM(L986,L988)</f>
        <v>0.39249037442178814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50.371423630792059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43.556300630674521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40.212993509395503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19.498817937171623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12.10397363647019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4.1243825488374108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0.39249037442178814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50.371423630792059</v>
      </c>
      <c r="G986" s="1">
        <f t="shared" ref="G986:L986" si="1125">G987</f>
        <v>43.556300630674521</v>
      </c>
      <c r="H986" s="1">
        <f t="shared" si="1125"/>
        <v>40.212949880617359</v>
      </c>
      <c r="I986" s="1">
        <f t="shared" si="1125"/>
        <v>19.498588121779083</v>
      </c>
      <c r="J986" s="1">
        <f t="shared" si="1125"/>
        <v>12.103737326622431</v>
      </c>
      <c r="K986" s="1">
        <f t="shared" si="1125"/>
        <v>4.1240981473533109</v>
      </c>
      <c r="L986" s="1">
        <f t="shared" si="1125"/>
        <v>3.1695065112572684E-6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50.371423630792059</v>
      </c>
      <c r="G987" s="1">
        <f t="shared" ref="G987:K987" si="1126">G985*IFERROR(G982/G981,0)</f>
        <v>43.556300630674521</v>
      </c>
      <c r="H987" s="1">
        <f t="shared" si="1126"/>
        <v>40.212949880617359</v>
      </c>
      <c r="I987" s="1">
        <f t="shared" si="1126"/>
        <v>19.498588121779083</v>
      </c>
      <c r="J987" s="1">
        <f t="shared" si="1126"/>
        <v>12.103737326622431</v>
      </c>
      <c r="K987" s="1">
        <f t="shared" si="1126"/>
        <v>4.1240981473533109</v>
      </c>
      <c r="L987" s="1">
        <f t="shared" ref="L987" si="1127">L985*IFERROR(L982/L981,0)</f>
        <v>3.1695065112572684E-6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4.3628778144011449E-5</v>
      </c>
      <c r="I988" s="1">
        <f t="shared" si="1128"/>
        <v>2.2981539254018912E-4</v>
      </c>
      <c r="J988" s="1">
        <f t="shared" si="1128"/>
        <v>2.3630984775913078E-4</v>
      </c>
      <c r="K988" s="1">
        <f t="shared" si="1128"/>
        <v>2.844014840999165E-4</v>
      </c>
      <c r="L988" s="1">
        <f t="shared" si="1128"/>
        <v>0.39248720491527689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4.3628778144011449E-5</v>
      </c>
      <c r="I989" s="1">
        <f t="shared" si="1129"/>
        <v>2.2981539254018912E-4</v>
      </c>
      <c r="J989" s="1">
        <f t="shared" si="1129"/>
        <v>2.3630984775913078E-4</v>
      </c>
      <c r="K989" s="1">
        <f t="shared" si="1129"/>
        <v>2.844014840999165E-4</v>
      </c>
      <c r="L989" s="1">
        <f t="shared" ref="L989" si="1130">L985-L987</f>
        <v>0.39248720491527689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9.8604185192082916</v>
      </c>
      <c r="G990" s="1">
        <f t="shared" ref="G990:L990" si="1131">G991</f>
        <v>7.7637224266225653</v>
      </c>
      <c r="H990" s="1">
        <f t="shared" si="1131"/>
        <v>8.8665496084370403</v>
      </c>
      <c r="I990" s="1">
        <f t="shared" si="1131"/>
        <v>3.6790943900626281</v>
      </c>
      <c r="J990" s="1">
        <f t="shared" si="1131"/>
        <v>2.3575331356425155</v>
      </c>
      <c r="K990" s="1">
        <f t="shared" si="1131"/>
        <v>1.0739397890866513</v>
      </c>
      <c r="L990" s="1">
        <f t="shared" si="1131"/>
        <v>5.4246524704223711E-2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9.8604185192082916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7.7637224266225653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8.8665496084370403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3.6790943900626281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2.3575331356425155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1.0739397890866513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5.4246524704223711E-2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9.8604185192082916</v>
      </c>
      <c r="G992" s="1">
        <f t="shared" ref="G992:K992" si="1132">IFERROR(G982/G981,0)*G991</f>
        <v>7.7637224266225653</v>
      </c>
      <c r="H992" s="1">
        <f t="shared" si="1132"/>
        <v>8.8665399887422112</v>
      </c>
      <c r="I992" s="1">
        <f t="shared" si="1132"/>
        <v>3.679051027817585</v>
      </c>
      <c r="J992" s="1">
        <f t="shared" si="1132"/>
        <v>2.3574871087497691</v>
      </c>
      <c r="K992" s="1">
        <f t="shared" si="1132"/>
        <v>1.073865734348461</v>
      </c>
      <c r="L992" s="1">
        <f t="shared" ref="L992" si="1133">IFERROR(L982/L981,0)*L991</f>
        <v>4.3806096777891017E-7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9.6196948291549234E-6</v>
      </c>
      <c r="I993" s="1">
        <f t="shared" si="1134"/>
        <v>4.3362245043088166E-5</v>
      </c>
      <c r="J993" s="1">
        <f t="shared" si="1134"/>
        <v>4.6026892746464654E-5</v>
      </c>
      <c r="K993" s="1">
        <f t="shared" si="1134"/>
        <v>7.4054738190332259E-5</v>
      </c>
      <c r="L993" s="1">
        <f t="shared" ref="L993" si="1135">L991-L992</f>
        <v>5.4246086643255934E-2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47.001923813478349</v>
      </c>
      <c r="G994" s="1">
        <f t="shared" ref="G994:K994" si="1136">SUM(G995:G996)</f>
        <v>48.158632406095101</v>
      </c>
      <c r="H994" s="1">
        <f t="shared" si="1136"/>
        <v>46.148310639786885</v>
      </c>
      <c r="I994" s="1">
        <f t="shared" si="1136"/>
        <v>32.928550831834272</v>
      </c>
      <c r="J994" s="1">
        <f t="shared" si="1136"/>
        <v>22.569338966177003</v>
      </c>
      <c r="K994" s="1">
        <f t="shared" si="1136"/>
        <v>12.917249867598809</v>
      </c>
      <c r="L994" s="1">
        <f t="shared" ref="L994" si="1137">SUM(L995:L996)</f>
        <v>7.4129640897903188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46.693794820454556</v>
      </c>
      <c r="G995" s="1">
        <f>[1]Residential!C$18</f>
        <v>46.3885041614665</v>
      </c>
      <c r="H995" s="1">
        <f>[1]Residential!D$18</f>
        <v>46.144274449980692</v>
      </c>
      <c r="I995" s="1">
        <f>[1]Residential!E$18</f>
        <v>32.927818221684383</v>
      </c>
      <c r="J995" s="1">
        <f>[2]Residential!F$18</f>
        <v>22.569195231870427</v>
      </c>
      <c r="K995" s="1">
        <f>[2]Residential!G$18</f>
        <v>12.885728838103734</v>
      </c>
      <c r="L995" s="1">
        <f>[2]Residential!H$18</f>
        <v>7.1758069386560184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0.30812899302379432</v>
      </c>
      <c r="G996" s="1">
        <f>[1]Residential!C$19</f>
        <v>1.7701282446286046</v>
      </c>
      <c r="H996" s="1">
        <f>[1]Residential!D$19</f>
        <v>4.0361898061938564E-3</v>
      </c>
      <c r="I996" s="1">
        <f>[1]Residential!E$19</f>
        <v>7.3261014988992357E-4</v>
      </c>
      <c r="J996" s="1">
        <f>[2]Residential!F$19</f>
        <v>1.4373430657665327E-4</v>
      </c>
      <c r="K996" s="1">
        <f>[2]Residential!G$19</f>
        <v>3.1521029495073988E-2</v>
      </c>
      <c r="L996" s="1">
        <f>[2]Residential!H$19</f>
        <v>0.23715715113430083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38.494653651343995</v>
      </c>
      <c r="G997" s="1">
        <f t="shared" ref="G997:K997" si="1140">SUM(G998:G999)</f>
        <v>40.816253028440869</v>
      </c>
      <c r="H997" s="1">
        <f t="shared" si="1140"/>
        <v>35.897493712381575</v>
      </c>
      <c r="I997" s="1">
        <f t="shared" si="1140"/>
        <v>26.326824573967283</v>
      </c>
      <c r="J997" s="1">
        <f t="shared" si="1140"/>
        <v>17.775890771632966</v>
      </c>
      <c r="K997" s="1">
        <f t="shared" si="1140"/>
        <v>9.6455710802661763</v>
      </c>
      <c r="L997" s="1">
        <f t="shared" ref="L997" si="1141">SUM(L998:L999)</f>
        <v>5.4608371439949348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38.494653651343995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40.816253028440869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33.851122045759766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23.410248266945732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14.386136674807311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5.7569526357233016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1.9992633074344166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2.0463716666218099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2.9165763070215496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3.389754096825655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3.8886184445428742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3.4615738365605178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38.242295494400068</v>
      </c>
      <c r="G1000" s="1">
        <f t="shared" ref="G1000:K1000" si="1142">SUM(G1001:G1002)</f>
        <v>39.316002736524212</v>
      </c>
      <c r="H1000" s="1">
        <f t="shared" si="1142"/>
        <v>35.894354072031128</v>
      </c>
      <c r="I1000" s="1">
        <f t="shared" si="1142"/>
        <v>26.326238842181034</v>
      </c>
      <c r="J1000" s="1">
        <f t="shared" si="1142"/>
        <v>17.775777564713717</v>
      </c>
      <c r="K1000" s="1">
        <f t="shared" si="1142"/>
        <v>9.6220336916088165</v>
      </c>
      <c r="L1000" s="1">
        <f t="shared" ref="L1000" si="1143">SUM(L1001:L1002)</f>
        <v>5.2861328605003077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38.242295494400068</v>
      </c>
      <c r="G1001" s="1">
        <f t="shared" ref="G1001:K1001" si="1144">G998-G1004</f>
        <v>39.316002736524212</v>
      </c>
      <c r="H1001" s="1">
        <f t="shared" si="1144"/>
        <v>33.848161383671922</v>
      </c>
      <c r="I1001" s="1">
        <f t="shared" si="1144"/>
        <v>23.409727424544272</v>
      </c>
      <c r="J1001" s="1">
        <f t="shared" si="1144"/>
        <v>14.386045055758018</v>
      </c>
      <c r="K1001" s="1">
        <f t="shared" si="1144"/>
        <v>5.7429043610756496</v>
      </c>
      <c r="L1001" s="1">
        <f t="shared" ref="L1001" si="1145">L998-L1004</f>
        <v>1.9353024431140962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2.0461926883592039</v>
      </c>
      <c r="I1002" s="1">
        <f t="shared" si="1146"/>
        <v>2.916511417636761</v>
      </c>
      <c r="J1002" s="1">
        <f t="shared" si="1146"/>
        <v>3.3897325089556998</v>
      </c>
      <c r="K1002" s="1">
        <f t="shared" si="1146"/>
        <v>3.8791293305331664</v>
      </c>
      <c r="L1002" s="1">
        <f t="shared" ref="L1002" si="1147">L999-L1005</f>
        <v>3.350830417386212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0.25235815694392877</v>
      </c>
      <c r="G1003" s="1">
        <f t="shared" ref="G1003:K1003" si="1148">SUM(G1004:G1005)</f>
        <v>1.5002502919166538</v>
      </c>
      <c r="H1003" s="1">
        <f t="shared" si="1148"/>
        <v>3.1396403504510098E-3</v>
      </c>
      <c r="I1003" s="1">
        <f t="shared" si="1148"/>
        <v>5.8573178624713568E-4</v>
      </c>
      <c r="J1003" s="1">
        <f t="shared" si="1148"/>
        <v>1.1320691924880883E-4</v>
      </c>
      <c r="K1003" s="1">
        <f t="shared" si="1148"/>
        <v>2.3537388657359815E-2</v>
      </c>
      <c r="L1003" s="1">
        <f t="shared" ref="L1003" si="1149">SUM(L1004:L1005)</f>
        <v>0.17470428349462605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0.25235815694392877</v>
      </c>
      <c r="G1004" s="1">
        <f t="shared" ref="G1004:K1004" si="1150">G998*IFERROR(G996/G994,0)</f>
        <v>1.5002502919166538</v>
      </c>
      <c r="H1004" s="1">
        <f t="shared" si="1150"/>
        <v>2.9606620878451866E-3</v>
      </c>
      <c r="I1004" s="1">
        <f t="shared" si="1150"/>
        <v>5.2084240145870004E-4</v>
      </c>
      <c r="J1004" s="1">
        <f t="shared" si="1150"/>
        <v>9.1619049293788362E-5</v>
      </c>
      <c r="K1004" s="1">
        <f t="shared" si="1150"/>
        <v>1.404827464765228E-2</v>
      </c>
      <c r="L1004" s="1">
        <f t="shared" ref="L1004" si="1151">L998*IFERROR(L996/L994,0)</f>
        <v>6.3960864320320415E-2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1.7897826260582317E-4</v>
      </c>
      <c r="I1005" s="1">
        <f t="shared" si="1152"/>
        <v>6.4889384788435661E-5</v>
      </c>
      <c r="J1005" s="1">
        <f t="shared" si="1152"/>
        <v>2.1587869955020462E-5</v>
      </c>
      <c r="K1005" s="1">
        <f t="shared" si="1152"/>
        <v>9.489114009707535E-3</v>
      </c>
      <c r="L1005" s="1">
        <f t="shared" ref="L1005" si="1153">L999*IFERROR(L$996/L$994,0)</f>
        <v>0.11074341917430564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8.5072701621343541</v>
      </c>
      <c r="G1006" s="1">
        <f t="shared" ref="G1006:K1006" si="1154">SUM(G1007:G1008)</f>
        <v>7.3423793776542325</v>
      </c>
      <c r="H1006" s="1">
        <f t="shared" si="1154"/>
        <v>10.25081692740531</v>
      </c>
      <c r="I1006" s="1">
        <f t="shared" si="1154"/>
        <v>6.6017262578669902</v>
      </c>
      <c r="J1006" s="1">
        <f t="shared" si="1154"/>
        <v>4.7934481945440375</v>
      </c>
      <c r="K1006" s="1">
        <f t="shared" si="1154"/>
        <v>3.271678787332633</v>
      </c>
      <c r="L1006" s="1">
        <f t="shared" ref="L1006" si="1155">SUM(L1007:L1008)</f>
        <v>1.9521269457953845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8.5072701621343541</v>
      </c>
      <c r="G1007" s="1">
        <f t="shared" ref="G1007:K1007" si="1156">G994-G998-G999-G1008</f>
        <v>7.3423793776542325</v>
      </c>
      <c r="H1007" s="1">
        <f t="shared" si="1156"/>
        <v>9.8133313977187964</v>
      </c>
      <c r="I1007" s="1">
        <f t="shared" si="1156"/>
        <v>5.843814790082094</v>
      </c>
      <c r="J1007" s="1">
        <f t="shared" si="1156"/>
        <v>3.7807894436827651</v>
      </c>
      <c r="K1007" s="1">
        <f t="shared" si="1156"/>
        <v>2.0128427291131108</v>
      </c>
      <c r="L1007" s="1">
        <f t="shared" ref="L1007" si="1157">L994-L998-L999-L1008</f>
        <v>0.77417763554521901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0.43748552968651438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0.75791146778489582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1.0126587508612723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1.2588360582195222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1.1779493102501655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8.4514993260544884</v>
      </c>
      <c r="G1009" s="1">
        <f t="shared" ref="G1009:K1009" si="1158">SUM(G1010:G1011)</f>
        <v>7.0725014249422822</v>
      </c>
      <c r="H1009" s="1">
        <f t="shared" si="1158"/>
        <v>10.249920377949568</v>
      </c>
      <c r="I1009" s="1">
        <f t="shared" si="1158"/>
        <v>6.6015793795033471</v>
      </c>
      <c r="J1009" s="1">
        <f t="shared" si="1158"/>
        <v>4.7934176671567092</v>
      </c>
      <c r="K1009" s="1">
        <f t="shared" si="1158"/>
        <v>3.2636951464949187</v>
      </c>
      <c r="L1009" s="1">
        <f t="shared" ref="L1009" si="1159">SUM(L1010:L1011)</f>
        <v>1.8896740781557098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8.4514993260544884</v>
      </c>
      <c r="G1010" s="1">
        <f t="shared" ref="G1010:K1010" si="1160">G1007-G1013</f>
        <v>7.0725014249422822</v>
      </c>
      <c r="H1010" s="1">
        <f t="shared" si="1160"/>
        <v>9.8124731113026051</v>
      </c>
      <c r="I1010" s="1">
        <f t="shared" si="1160"/>
        <v>5.8436847740953244</v>
      </c>
      <c r="J1010" s="1">
        <f t="shared" si="1160"/>
        <v>3.7807653654787106</v>
      </c>
      <c r="K1010" s="1">
        <f t="shared" si="1160"/>
        <v>2.0079309347541221</v>
      </c>
      <c r="L1010" s="1">
        <f t="shared" ref="L1010" si="1161">L1007-L1013</f>
        <v>0.74940997711683632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0.43744726664696215</v>
      </c>
      <c r="I1011" s="1">
        <f t="shared" si="1162"/>
        <v>0.75789460540802256</v>
      </c>
      <c r="J1011" s="1">
        <f t="shared" si="1162"/>
        <v>1.0126523016779989</v>
      </c>
      <c r="K1011" s="1">
        <f t="shared" si="1162"/>
        <v>1.2557642117407968</v>
      </c>
      <c r="L1011" s="1">
        <f t="shared" ref="L1011" si="1163">L1008-L1014</f>
        <v>1.1402641010388734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5.5770836079865542E-2</v>
      </c>
      <c r="G1012" s="1">
        <f t="shared" si="1164"/>
        <v>0.26987795271195075</v>
      </c>
      <c r="H1012" s="1">
        <f t="shared" si="1164"/>
        <v>8.9654945574284641E-4</v>
      </c>
      <c r="I1012" s="1">
        <f t="shared" si="1164"/>
        <v>1.4687836364278786E-4</v>
      </c>
      <c r="J1012" s="1">
        <f t="shared" si="1164"/>
        <v>3.0527387327844447E-5</v>
      </c>
      <c r="K1012" s="1">
        <f t="shared" si="1164"/>
        <v>7.9836408377141708E-3</v>
      </c>
      <c r="L1012" s="1">
        <f t="shared" ref="L1012" si="1165">SUM(L1013:L1014)</f>
        <v>6.2452867639674794E-2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5.5770836079865542E-2</v>
      </c>
      <c r="G1013" s="1">
        <f t="shared" ref="G1013:K1013" si="1166">G1007*IFERROR(G$996/G$994,0)</f>
        <v>0.26987795271195075</v>
      </c>
      <c r="H1013" s="1">
        <f t="shared" si="1166"/>
        <v>8.5828641619063229E-4</v>
      </c>
      <c r="I1013" s="1">
        <f t="shared" si="1166"/>
        <v>1.3001598676951282E-4</v>
      </c>
      <c r="J1013" s="1">
        <f t="shared" si="1166"/>
        <v>2.4078204054379702E-5</v>
      </c>
      <c r="K1013" s="1">
        <f t="shared" si="1166"/>
        <v>4.9117943589887169E-3</v>
      </c>
      <c r="L1013" s="1">
        <f t="shared" ref="L1013" si="1167">L1007*IFERROR(L$996/L$994,0)</f>
        <v>2.4767658428382661E-2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3.8263039552214114E-5</v>
      </c>
      <c r="I1014" s="1">
        <f t="shared" si="1168"/>
        <v>1.6862376873275059E-5</v>
      </c>
      <c r="J1014" s="1">
        <f t="shared" si="1168"/>
        <v>6.4491832734647464E-6</v>
      </c>
      <c r="K1014" s="1">
        <f t="shared" si="1168"/>
        <v>3.0718464787254534E-3</v>
      </c>
      <c r="L1014" s="1">
        <f t="shared" ref="L1014" si="1169">L1008*IFERROR(L$996/L$994,0)</f>
        <v>3.7685209211292134E-2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0.1000012480142646</v>
      </c>
      <c r="G1015" s="1">
        <f>[1]Residential!C$20</f>
        <v>0.10000063566305728</v>
      </c>
      <c r="H1015" s="1">
        <f>[1]Residential!D$20</f>
        <v>2.5922547568607145E-2</v>
      </c>
      <c r="I1015" s="1">
        <f>[1]Residential!E$20</f>
        <v>4.6618984546192637E-4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0.1000012480142646</v>
      </c>
      <c r="G1016" s="1">
        <f t="shared" ref="G1016:G1017" si="1170">G1015</f>
        <v>0.10000063566305728</v>
      </c>
      <c r="H1016" s="1">
        <f t="shared" ref="H1016:H1017" si="1171">H1015</f>
        <v>2.5922547568607145E-2</v>
      </c>
      <c r="I1016" s="1">
        <f t="shared" ref="I1016:I1017" si="1172">I1015</f>
        <v>4.6618984546192637E-4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0.1000012480142646</v>
      </c>
      <c r="G1017" s="1">
        <f t="shared" si="1170"/>
        <v>0.10000063566305728</v>
      </c>
      <c r="H1017" s="1">
        <f t="shared" si="1171"/>
        <v>2.5922547568607145E-2</v>
      </c>
      <c r="I1017" s="1">
        <f t="shared" si="1172"/>
        <v>4.6618984546192637E-4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13.723005628793963</v>
      </c>
      <c r="G1020" s="1">
        <f t="shared" ref="G1020:K1020" si="1176">G1021+G1023</f>
        <v>14.190862753911489</v>
      </c>
      <c r="H1020" s="1">
        <f t="shared" si="1176"/>
        <v>17.68853190129893</v>
      </c>
      <c r="I1020" s="1">
        <f t="shared" si="1176"/>
        <v>15.81872325984444</v>
      </c>
      <c r="J1020" s="1">
        <f t="shared" si="1176"/>
        <v>13.587483112889592</v>
      </c>
      <c r="K1020" s="1">
        <f t="shared" si="1176"/>
        <v>11.515195934866709</v>
      </c>
      <c r="L1020" s="1">
        <f t="shared" ref="L1020" si="1177">L1021+L1023</f>
        <v>6.9648840041316937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12.682058364782369</v>
      </c>
      <c r="G1021" s="1">
        <f t="shared" ref="G1021:L1021" si="1178">G1022</f>
        <v>12.996378241712396</v>
      </c>
      <c r="H1021" s="1">
        <f t="shared" si="1178"/>
        <v>14.794587110685649</v>
      </c>
      <c r="I1021" s="1">
        <f t="shared" si="1178"/>
        <v>13.010088031400539</v>
      </c>
      <c r="J1021" s="1">
        <f t="shared" si="1178"/>
        <v>10.994716234680538</v>
      </c>
      <c r="K1021" s="1">
        <f t="shared" si="1178"/>
        <v>9.1275243561258534</v>
      </c>
      <c r="L1021" s="1">
        <f t="shared" si="1178"/>
        <v>5.278996241910324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12.682058364782369</v>
      </c>
      <c r="G1022" s="1">
        <f>[1]Residential!C$22-G1024-G1025</f>
        <v>12.996378241712396</v>
      </c>
      <c r="H1022" s="1">
        <f>[1]Residential!D$22-H1024-H1025</f>
        <v>14.794587110685649</v>
      </c>
      <c r="I1022" s="1">
        <f>[1]Residential!E$22-I1024-I1025</f>
        <v>13.010088031400539</v>
      </c>
      <c r="J1022" s="1">
        <f>[2]Residential!F$22-J1024-J1025</f>
        <v>10.994716234680538</v>
      </c>
      <c r="K1022" s="1">
        <f>[2]Residential!G$22-K1024-K1025</f>
        <v>9.1275243561258534</v>
      </c>
      <c r="L1022" s="1">
        <f>[2]Residential!H$22-L1024-L1025</f>
        <v>5.278996241910324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1.0409472640115947</v>
      </c>
      <c r="G1023" s="1">
        <f t="shared" ref="G1023" si="1179">G1024</f>
        <v>1.1944845121990932</v>
      </c>
      <c r="H1023" s="1">
        <f t="shared" ref="H1023" si="1180">H1024</f>
        <v>2.8939447906132791</v>
      </c>
      <c r="I1023" s="1">
        <f t="shared" ref="I1023" si="1181">I1024</f>
        <v>2.8086352284439018</v>
      </c>
      <c r="J1023" s="1">
        <f t="shared" ref="J1023" si="1182">J1024</f>
        <v>2.5927668782090532</v>
      </c>
      <c r="K1023" s="1">
        <f t="shared" ref="K1023:L1023" si="1183">K1024</f>
        <v>2.3876715787408549</v>
      </c>
      <c r="L1023" s="1">
        <f t="shared" si="1183"/>
        <v>1.6858877622213693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1.0409472640115947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1.1944845121990932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2.8939447906132791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2.8086352284439018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2.5927668782090532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2.3876715787408549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1.6858877622213693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3.2682216544739231</v>
      </c>
      <c r="G1025" s="1">
        <f t="shared" ref="G1025:K1025" si="1184">G1026+G1028</f>
        <v>3.83198908888405</v>
      </c>
      <c r="H1025" s="1">
        <f t="shared" si="1184"/>
        <v>0.8735990044418559</v>
      </c>
      <c r="I1025" s="1">
        <f t="shared" si="1184"/>
        <v>1.1546951853648908</v>
      </c>
      <c r="J1025" s="1">
        <f t="shared" si="1184"/>
        <v>1.2524932247849903</v>
      </c>
      <c r="K1025" s="1">
        <f t="shared" si="1184"/>
        <v>1.3323456426921119</v>
      </c>
      <c r="L1025" s="1">
        <f t="shared" ref="L1025" si="1185">L1026+L1028</f>
        <v>1.1442538647628457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2.9965489697561072</v>
      </c>
      <c r="G1026" s="1">
        <f t="shared" ref="G1026:L1026" si="1186">G1027</f>
        <v>3.5202485034719966</v>
      </c>
      <c r="H1026" s="1">
        <f t="shared" si="1186"/>
        <v>0.63496861333702626</v>
      </c>
      <c r="I1026" s="1">
        <f t="shared" si="1186"/>
        <v>0.81977943083994609</v>
      </c>
      <c r="J1026" s="1">
        <f t="shared" si="1186"/>
        <v>0.87160447678457065</v>
      </c>
      <c r="K1026" s="1">
        <f t="shared" si="1186"/>
        <v>0.90775001033272751</v>
      </c>
      <c r="L1026" s="1">
        <f t="shared" si="1186"/>
        <v>0.74241804358853747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2.9965489697561072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3.5202485034719966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0.63496861333702626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0.81977943083994609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0.87160447678457065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0.90775001033272751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0.74241804358853747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0.27167268471781586</v>
      </c>
      <c r="G1028" s="1">
        <f t="shared" ref="G1028:L1028" si="1187">G1029</f>
        <v>0.31174058541205352</v>
      </c>
      <c r="H1028" s="1">
        <f t="shared" si="1187"/>
        <v>0.23863039110482964</v>
      </c>
      <c r="I1028" s="1">
        <f t="shared" si="1187"/>
        <v>0.33491575452494471</v>
      </c>
      <c r="J1028" s="1">
        <f t="shared" si="1187"/>
        <v>0.38088874800041961</v>
      </c>
      <c r="K1028" s="1">
        <f t="shared" si="1187"/>
        <v>0.42459563235938436</v>
      </c>
      <c r="L1028" s="1">
        <f t="shared" si="1187"/>
        <v>0.40183582117430827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0.27167268471781586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0.31174058541205352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0.23863039110482964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0.33491575452494471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0.38088874800041961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0.42459563235938436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0.40183582117430827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2.5068287851880919</v>
      </c>
      <c r="G1030" s="1">
        <f>[1]Residential!C$23</f>
        <v>2.9280362319155451</v>
      </c>
      <c r="H1030" s="1">
        <f>[1]Residential!D$23</f>
        <v>0.98338304689283951</v>
      </c>
      <c r="I1030" s="1">
        <f>[1]Residential!E$23</f>
        <v>1.2912529134542783</v>
      </c>
      <c r="J1030" s="1">
        <f>[2]Residential!F$23</f>
        <v>1.4915938300403784</v>
      </c>
      <c r="K1030" s="1">
        <f>[2]Residential!G$23</f>
        <v>1.7598506335299737</v>
      </c>
      <c r="L1030" s="1">
        <f>[2]Residential!H$23</f>
        <v>1.9810313614059996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0.78534076052824076</v>
      </c>
      <c r="G1031" s="1">
        <f t="shared" ref="G1031:L1031" si="1188">G1032</f>
        <v>0.94130082291135464</v>
      </c>
      <c r="H1031" s="1">
        <f t="shared" si="1188"/>
        <v>3.2915453872830618E-2</v>
      </c>
      <c r="I1031" s="1">
        <f t="shared" si="1188"/>
        <v>3.948389953232255E-2</v>
      </c>
      <c r="J1031" s="1">
        <f t="shared" si="1188"/>
        <v>4.122556924304719E-2</v>
      </c>
      <c r="K1031" s="1">
        <f t="shared" si="1188"/>
        <v>4.2531374818538775E-2</v>
      </c>
      <c r="L1031" s="1">
        <f t="shared" si="1188"/>
        <v>4.1724302213098238E-2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0.78534076052824076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0.94130082291135464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3.2915453872830618E-2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3.948389953232255E-2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4.122556924304719E-2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4.2531374818538775E-2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4.1724302213098238E-2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189">G1030-G1031</f>
        <v>1.9867354090041904</v>
      </c>
      <c r="H1033" s="1">
        <f t="shared" si="1189"/>
        <v>0.95046759302000894</v>
      </c>
      <c r="I1033" s="1">
        <f t="shared" si="1189"/>
        <v>1.2517690139219557</v>
      </c>
      <c r="J1033" s="1">
        <f t="shared" si="1189"/>
        <v>1.4503682607973312</v>
      </c>
      <c r="K1033" s="1">
        <f t="shared" si="1189"/>
        <v>1.717319258711435</v>
      </c>
      <c r="L1033" s="1">
        <f t="shared" ref="L1033" si="1190">L1030-L1031</f>
        <v>1.9393070591929014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191">G1033</f>
        <v>1.9867354090041904</v>
      </c>
      <c r="H1034" s="1">
        <f t="shared" si="1191"/>
        <v>0.95046759302000894</v>
      </c>
      <c r="I1034" s="1">
        <f t="shared" si="1191"/>
        <v>1.2517690139219557</v>
      </c>
      <c r="J1034" s="1">
        <f t="shared" si="1191"/>
        <v>1.4503682607973312</v>
      </c>
      <c r="K1034" s="1">
        <f t="shared" si="1191"/>
        <v>1.717319258711435</v>
      </c>
      <c r="L1034" s="1">
        <f t="shared" ref="L1034" si="1192">L1033</f>
        <v>1.9393070591929014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8.2057658065266348E-4</v>
      </c>
      <c r="K1035" s="1">
        <f>[2]Residential!G$24</f>
        <v>3.3744914951069668E-2</v>
      </c>
      <c r="L1035" s="1">
        <f>[2]Residential!H$24</f>
        <v>2.0608202401166915E-2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0</v>
      </c>
      <c r="J1036" s="1">
        <f t="shared" si="1193"/>
        <v>8.2057658065266348E-4</v>
      </c>
      <c r="K1036" s="1">
        <f t="shared" si="1193"/>
        <v>3.3744914951069668E-2</v>
      </c>
      <c r="L1036" s="1">
        <f t="shared" ref="L1036" si="1194">L1035-L1038-L1040</f>
        <v>2.0608202401166915E-2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8.3991037147994341</v>
      </c>
      <c r="G1042" s="1">
        <f>[1]Residential!C$21</f>
        <v>9.7140473419953075</v>
      </c>
      <c r="H1042" s="1">
        <f>[1]Residential!D$21</f>
        <v>8.4219706397269043</v>
      </c>
      <c r="I1042" s="1">
        <f>[1]Residential!E$21</f>
        <v>10.725892380811606</v>
      </c>
      <c r="J1042" s="1">
        <f>[2]Residential!F$21</f>
        <v>11.001661968305116</v>
      </c>
      <c r="K1042" s="1">
        <f>[2]Residential!G$21</f>
        <v>11.457059150605733</v>
      </c>
      <c r="L1042" s="1">
        <f>[2]Residential!H$21</f>
        <v>10.783183085690785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0.10404270996977769</v>
      </c>
      <c r="G1043" s="1">
        <f t="shared" ref="G1043:K1043" si="1199">SUM(G1044:G1046)</f>
        <v>7.772949756550275E-2</v>
      </c>
      <c r="H1043" s="1">
        <f t="shared" si="1199"/>
        <v>0.17796213800436675</v>
      </c>
      <c r="I1043" s="1">
        <f t="shared" si="1199"/>
        <v>0</v>
      </c>
      <c r="J1043" s="1">
        <f t="shared" si="1199"/>
        <v>0.96035906065715682</v>
      </c>
      <c r="K1043" s="1">
        <f t="shared" si="1199"/>
        <v>0.59981640306761808</v>
      </c>
      <c r="L1043" s="1">
        <f t="shared" ref="L1043" si="1200">SUM(L1044:L1046)</f>
        <v>1.0307208956025649E-2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0.10404270996977769</v>
      </c>
      <c r="G1044" s="1">
        <f t="shared" si="1201"/>
        <v>7.772949756550275E-2</v>
      </c>
      <c r="H1044" s="1">
        <f t="shared" si="1201"/>
        <v>0.17796213800436675</v>
      </c>
      <c r="I1044" s="1">
        <f t="shared" si="1201"/>
        <v>0</v>
      </c>
      <c r="J1044" s="1">
        <f t="shared" si="1201"/>
        <v>0.6548645387064681</v>
      </c>
      <c r="K1044" s="1">
        <f t="shared" si="1201"/>
        <v>0.2969008445802877</v>
      </c>
      <c r="L1044" s="1">
        <f t="shared" ref="L1044" si="1202">SUM(L244,L246)</f>
        <v>0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0</v>
      </c>
      <c r="J1046" s="1">
        <f t="shared" si="1204"/>
        <v>0.30549452195068871</v>
      </c>
      <c r="K1046" s="1">
        <f t="shared" si="1204"/>
        <v>0.30291555848733043</v>
      </c>
      <c r="L1046" s="1">
        <f t="shared" ref="L1046" si="1205">SUM(L285,L286)</f>
        <v>1.0307208956025649E-2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8.2950610048296571</v>
      </c>
      <c r="G1047" s="1">
        <f t="shared" ref="G1047:K1047" si="1206">G1042-G1043</f>
        <v>9.6363178444298043</v>
      </c>
      <c r="H1047" s="1">
        <f t="shared" si="1206"/>
        <v>8.2440085017225382</v>
      </c>
      <c r="I1047" s="1">
        <f t="shared" si="1206"/>
        <v>10.725892380811606</v>
      </c>
      <c r="J1047" s="1">
        <f t="shared" si="1206"/>
        <v>10.04130290764796</v>
      </c>
      <c r="K1047" s="1">
        <f t="shared" si="1206"/>
        <v>10.857242747538116</v>
      </c>
      <c r="L1047" s="1">
        <f t="shared" ref="L1047" si="1207">L1042-L1043</f>
        <v>10.77287587673476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15.195001251126037</v>
      </c>
      <c r="G1048" s="1">
        <f>[1]Residential!C$25</f>
        <v>17.63596087597535</v>
      </c>
      <c r="H1048" s="1">
        <f>[1]Residential!D$25</f>
        <v>26.497829753656088</v>
      </c>
      <c r="I1048" s="1">
        <f>[1]Residential!E$25</f>
        <v>44.57991147196968</v>
      </c>
      <c r="J1048" s="1">
        <f>[2]Residential!F$25</f>
        <v>54.658024120755385</v>
      </c>
      <c r="K1048" s="1">
        <f>[2]Residential!G$25</f>
        <v>65.43768744059858</v>
      </c>
      <c r="L1048" s="1">
        <f>[2]Residential!H$25</f>
        <v>69.573493568966157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13.10399845393146</v>
      </c>
      <c r="G1049" s="1">
        <f t="shared" ref="G1049:K1049" si="1208">G1048-G1052</f>
        <v>15.286933072838536</v>
      </c>
      <c r="H1049" s="1">
        <f t="shared" si="1208"/>
        <v>23.680465903486148</v>
      </c>
      <c r="I1049" s="1">
        <f t="shared" si="1208"/>
        <v>38.665751475479368</v>
      </c>
      <c r="J1049" s="1">
        <f t="shared" si="1208"/>
        <v>46.254327054759187</v>
      </c>
      <c r="K1049" s="1">
        <f t="shared" si="1208"/>
        <v>54.2386336110198</v>
      </c>
      <c r="L1049" s="1">
        <f t="shared" ref="L1049" si="1209">L1048-L1052</f>
        <v>55.422185455668242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13.10399845393146</v>
      </c>
      <c r="G1050" s="1">
        <f t="shared" ref="G1050:K1050" si="1210">G1049-G1051</f>
        <v>15.286933072838536</v>
      </c>
      <c r="H1050" s="1">
        <f t="shared" si="1210"/>
        <v>21.935672872916104</v>
      </c>
      <c r="I1050" s="1">
        <f t="shared" si="1210"/>
        <v>35.955237168657519</v>
      </c>
      <c r="J1050" s="1">
        <f t="shared" si="1210"/>
        <v>42.931398981175903</v>
      </c>
      <c r="K1050" s="1">
        <f t="shared" si="1210"/>
        <v>50.236736739301641</v>
      </c>
      <c r="L1050" s="1">
        <f t="shared" ref="L1050" si="1211">L1049-L1051</f>
        <v>51.524732126373792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1.7447930305700425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2.7105143068218513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3.3229280735832809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4.0018968717181576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3.8974533292944487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2.091002797194577</v>
      </c>
      <c r="G1052" s="1">
        <f t="shared" ref="G1052:K1052" si="1212">SUM(G1053:G1054)</f>
        <v>2.3490278031368144</v>
      </c>
      <c r="H1052" s="1">
        <f t="shared" si="1212"/>
        <v>2.8173638501699392</v>
      </c>
      <c r="I1052" s="1">
        <f t="shared" si="1212"/>
        <v>5.9141599964903158</v>
      </c>
      <c r="J1052" s="1">
        <f t="shared" si="1212"/>
        <v>8.4036970659961945</v>
      </c>
      <c r="K1052" s="1">
        <f t="shared" si="1212"/>
        <v>11.19905382957878</v>
      </c>
      <c r="L1052" s="1">
        <f t="shared" ref="L1052" si="1213">SUM(L1053:L1054)</f>
        <v>14.151308113297913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2.091002797194577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2.3490278031368144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2.3775852555968608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4.9367767980848551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6.9075529402977676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9.123431584657137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11.576889555226119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0.4397785945730785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0.97738319840546073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1.4961441256984278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2.0756222449216439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2.5744185580717951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156.01440528769476</v>
      </c>
      <c r="G1055" s="3">
        <f>[1]Residential!C$245</f>
        <v>162.34132313105661</v>
      </c>
      <c r="H1055" s="3">
        <f>[1]Residential!D$245</f>
        <v>147.47840903232179</v>
      </c>
      <c r="I1055" s="3">
        <f>[1]Residential!E$245</f>
        <v>145.88433181580297</v>
      </c>
      <c r="J1055" s="3">
        <f>[2]Residential!F$245</f>
        <v>146.01127275210573</v>
      </c>
      <c r="K1055" s="3">
        <f>[2]Residential!G$245</f>
        <v>146.94714252417901</v>
      </c>
      <c r="L1055" s="3">
        <f>[2]Residential!H$245</f>
        <v>146.00379569415892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129.03606964156828</v>
      </c>
      <c r="G1056" s="1">
        <f>[1]Residential!C$116</f>
        <v>136.41097945071053</v>
      </c>
      <c r="H1056" s="1">
        <f>[1]Residential!D$116</f>
        <v>125.79817571481951</v>
      </c>
      <c r="I1056" s="1">
        <f>[1]Residential!E$116</f>
        <v>123.71002856759129</v>
      </c>
      <c r="J1056" s="1">
        <f>[2]Residential!F$116</f>
        <v>121.79171584361727</v>
      </c>
      <c r="K1056" s="1">
        <f>[2]Residential!G$116</f>
        <v>120.0909864811251</v>
      </c>
      <c r="L1056" s="1">
        <f>[2]Residential!H$116</f>
        <v>117.267245412676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27.968383803604297</v>
      </c>
      <c r="G1057" s="1">
        <f t="shared" ref="G1057:K1057" si="1216">SUM(G1058:G1059)</f>
        <v>29.95397180489686</v>
      </c>
      <c r="H1057" s="1">
        <f t="shared" si="1216"/>
        <v>33.806029048822339</v>
      </c>
      <c r="I1057" s="1">
        <f t="shared" si="1216"/>
        <v>51.570331464837444</v>
      </c>
      <c r="J1057" s="1">
        <f t="shared" si="1216"/>
        <v>59.924069637396315</v>
      </c>
      <c r="K1057" s="1">
        <f t="shared" si="1216"/>
        <v>68.679203605947038</v>
      </c>
      <c r="L1057" s="1">
        <f t="shared" ref="L1057" si="1217">SUM(L1058:L1059)</f>
        <v>68.302772096244993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8.9080224160676309</v>
      </c>
      <c r="G1058" s="1">
        <f>[1]Residential!C$102</f>
        <v>7.8828968358281912</v>
      </c>
      <c r="H1058" s="1">
        <f>[1]Residential!D$102</f>
        <v>0.8233467415644985</v>
      </c>
      <c r="I1058" s="1">
        <f>[1]Residential!E$102</f>
        <v>0.20671220711196706</v>
      </c>
      <c r="J1058" s="1">
        <f>[2]Residential!F$102</f>
        <v>2.8020568842676508E-2</v>
      </c>
      <c r="K1058" s="1">
        <f>[2]Residential!G$102</f>
        <v>1.7679363032179197E-2</v>
      </c>
      <c r="L1058" s="1">
        <f>[2]Residential!H$102</f>
        <v>1.3286101336886213E-2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19.060361387536666</v>
      </c>
      <c r="G1059" s="1">
        <f>[1]Residential!C$104</f>
        <v>22.071074969068668</v>
      </c>
      <c r="H1059" s="1">
        <f>[1]Residential!D$104</f>
        <v>32.982682307257839</v>
      </c>
      <c r="I1059" s="1">
        <f>[1]Residential!E$104</f>
        <v>51.363619257725475</v>
      </c>
      <c r="J1059" s="1">
        <f>[2]Residential!F$104</f>
        <v>59.896049068553637</v>
      </c>
      <c r="K1059" s="1">
        <f>[2]Residential!G$104</f>
        <v>68.661524242914865</v>
      </c>
      <c r="L1059" s="1">
        <f>[2]Residential!H$104</f>
        <v>68.289485994908105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45.124400335917912</v>
      </c>
      <c r="G1060" s="1">
        <f t="shared" ref="G1060:L1060" si="1218">G1061</f>
        <v>39.019185981645933</v>
      </c>
      <c r="H1060" s="1">
        <f t="shared" si="1218"/>
        <v>34.330075344251604</v>
      </c>
      <c r="I1060" s="1">
        <f t="shared" si="1218"/>
        <v>16.92580529665619</v>
      </c>
      <c r="J1060" s="1">
        <f t="shared" si="1218"/>
        <v>10.513385177385389</v>
      </c>
      <c r="K1060" s="1">
        <f t="shared" si="1218"/>
        <v>3.582465736136577</v>
      </c>
      <c r="L1060" s="1">
        <f t="shared" si="1218"/>
        <v>0.34079449285152091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45.124400335917912</v>
      </c>
      <c r="G1061" s="1">
        <f>[1]Residential!C$105</f>
        <v>39.019185981645933</v>
      </c>
      <c r="H1061" s="1">
        <f>[1]Residential!D$105</f>
        <v>34.330075344251604</v>
      </c>
      <c r="I1061" s="1">
        <f>[1]Residential!E$105</f>
        <v>16.92580529665619</v>
      </c>
      <c r="J1061" s="1">
        <f>[2]Residential!F$105</f>
        <v>10.513385177385389</v>
      </c>
      <c r="K1061" s="1">
        <f>[2]Residential!G$105</f>
        <v>3.582465736136577</v>
      </c>
      <c r="L1061" s="1">
        <f>[2]Residential!H$105</f>
        <v>0.34079449285152091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36.569920968776813</v>
      </c>
      <c r="G1062" s="1">
        <f t="shared" ref="G1062:K1062" si="1219">SUM(G1063:G1064)</f>
        <v>38.775440377018825</v>
      </c>
      <c r="H1062" s="1">
        <f t="shared" si="1219"/>
        <v>35.423120804013884</v>
      </c>
      <c r="I1062" s="1">
        <f t="shared" si="1219"/>
        <v>27.506234076777307</v>
      </c>
      <c r="J1062" s="1">
        <f t="shared" si="1219"/>
        <v>20.153079630409955</v>
      </c>
      <c r="K1062" s="1">
        <f t="shared" si="1219"/>
        <v>13.261790717078267</v>
      </c>
      <c r="L1062" s="1">
        <f t="shared" ref="L1062" si="1220">SUM(L1063:L1064)</f>
        <v>9.2356864913794379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36.569920968776813</v>
      </c>
      <c r="G1063" s="1">
        <f>[1]Residential!C$106</f>
        <v>38.775440377018825</v>
      </c>
      <c r="H1063" s="1">
        <f>[1]Residential!D$106</f>
        <v>31.631956106822035</v>
      </c>
      <c r="I1063" s="1">
        <f>[1]Residential!E$106</f>
        <v>21.879143462933907</v>
      </c>
      <c r="J1063" s="1">
        <f>[2]Residential!F$106</f>
        <v>13.440397460001018</v>
      </c>
      <c r="K1063" s="1">
        <f>[2]Residential!G$106</f>
        <v>5.3712754008172343</v>
      </c>
      <c r="L1063" s="1">
        <f>[2]Residential!H$106</f>
        <v>1.8766593255244715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3.7911646971918525</v>
      </c>
      <c r="I1064" s="1">
        <f>[1]Residential!E$107</f>
        <v>5.6270906138434009</v>
      </c>
      <c r="J1064" s="1">
        <f>[2]Residential!F$107</f>
        <v>6.7126821704089368</v>
      </c>
      <c r="K1064" s="1">
        <f>[2]Residential!G$107</f>
        <v>7.8905153162610322</v>
      </c>
      <c r="L1064" s="1">
        <f>[2]Residential!H$107</f>
        <v>7.3590271658549664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7.2000898570270519E-2</v>
      </c>
      <c r="G1065" s="1">
        <f t="shared" ref="G1065:L1065" si="1221">G1066</f>
        <v>7.2000457677401222E-2</v>
      </c>
      <c r="H1065" s="1">
        <f t="shared" si="1221"/>
        <v>2.0720137398480269E-2</v>
      </c>
      <c r="I1065" s="1">
        <f t="shared" si="1221"/>
        <v>3.729518763695409E-4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7.2000898570270519E-2</v>
      </c>
      <c r="G1066" s="1">
        <f>[1]Residential!C$108</f>
        <v>7.2000457677401222E-2</v>
      </c>
      <c r="H1066" s="1">
        <f>[1]Residential!D$108</f>
        <v>2.0720137398480269E-2</v>
      </c>
      <c r="I1066" s="1">
        <f>[1]Residential!E$108</f>
        <v>3.729518763695409E-4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6.6217636671454114</v>
      </c>
      <c r="G1067" s="1">
        <f>SUM([1]Residential!C$109:C$110)</f>
        <v>7.7402972314450178</v>
      </c>
      <c r="H1067" s="1">
        <f>SUM([1]Residential!D$109:D$110)</f>
        <v>5.9328487745519718</v>
      </c>
      <c r="I1067" s="1">
        <f>SUM([1]Residential!E$109:E$110)</f>
        <v>7.3708402812154743</v>
      </c>
      <c r="J1067" s="1">
        <f>SUM([2]Residential!F$109:F$110)</f>
        <v>7.4400316145493424</v>
      </c>
      <c r="K1067" s="1">
        <f>SUM([2]Residential!G$109:G$110)</f>
        <v>7.6196517296869084</v>
      </c>
      <c r="L1067" s="1">
        <f>SUM([2]Residential!H$109:H$110)</f>
        <v>6.9477520126274541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7.9064196789308552E-2</v>
      </c>
      <c r="G1068" s="1">
        <f>[1]Residential!C$109</f>
        <v>4.7265646915454172E-2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7.9064196789308552E-2</v>
      </c>
      <c r="G1069" s="1">
        <f t="shared" ref="G1069:K1069" si="1222">IFERROR(G$1068/G$1043,0)*G1044</f>
        <v>4.7265646915454172E-2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6.5426994703561032</v>
      </c>
      <c r="G1072" s="1">
        <f t="shared" ref="G1072:K1072" si="1228">G1067-G1068</f>
        <v>7.6930315845295638</v>
      </c>
      <c r="H1072" s="1">
        <f t="shared" si="1228"/>
        <v>5.9328487745519718</v>
      </c>
      <c r="I1072" s="1">
        <f t="shared" si="1228"/>
        <v>7.3708402812154743</v>
      </c>
      <c r="J1072" s="1">
        <f t="shared" si="1228"/>
        <v>7.4400316145493424</v>
      </c>
      <c r="K1072" s="1">
        <f t="shared" si="1228"/>
        <v>7.6196517296869084</v>
      </c>
      <c r="L1072" s="1">
        <f t="shared" ref="L1072" si="1229">L1067-L1068</f>
        <v>6.9477520126274541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9.1310820226433052</v>
      </c>
      <c r="G1073" s="1">
        <f t="shared" ref="G1073:L1073" si="1230">G1074</f>
        <v>9.357392334032923</v>
      </c>
      <c r="H1073" s="1">
        <f t="shared" si="1230"/>
        <v>10.660376864384705</v>
      </c>
      <c r="I1073" s="1">
        <f t="shared" si="1230"/>
        <v>9.4465683746080398</v>
      </c>
      <c r="J1073" s="1">
        <f t="shared" si="1230"/>
        <v>8.0015692343090183</v>
      </c>
      <c r="K1073" s="1">
        <f t="shared" si="1230"/>
        <v>6.662410578632362</v>
      </c>
      <c r="L1073" s="1">
        <f t="shared" si="1230"/>
        <v>3.9539485994237791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9.1310820226433052</v>
      </c>
      <c r="G1074" s="1">
        <f>[1]Residential!C$111</f>
        <v>9.357392334032923</v>
      </c>
      <c r="H1074" s="1">
        <f>[1]Residential!D$111</f>
        <v>10.660376864384705</v>
      </c>
      <c r="I1074" s="1">
        <f>[1]Residential!E$111</f>
        <v>9.4465683746080398</v>
      </c>
      <c r="J1074" s="1">
        <f>[2]Residential!F$111</f>
        <v>8.0015692343090183</v>
      </c>
      <c r="K1074" s="1">
        <f>[2]Residential!G$111</f>
        <v>6.662410578632362</v>
      </c>
      <c r="L1074" s="1">
        <f>[2]Residential!H$111</f>
        <v>3.9539485994237791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2.6968940727804975</v>
      </c>
      <c r="G1075" s="1">
        <f t="shared" ref="G1075:L1075" si="1231">G1076</f>
        <v>3.1682236531247985</v>
      </c>
      <c r="H1075" s="1">
        <f t="shared" si="1231"/>
        <v>0.46852170553737388</v>
      </c>
      <c r="I1075" s="1">
        <f t="shared" si="1231"/>
        <v>0.60628987568522719</v>
      </c>
      <c r="J1075" s="1">
        <f t="shared" si="1231"/>
        <v>0.64526162136473086</v>
      </c>
      <c r="K1075" s="1">
        <f t="shared" si="1231"/>
        <v>0.67272573028140181</v>
      </c>
      <c r="L1075" s="1">
        <f t="shared" si="1231"/>
        <v>0.55520096242848027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2.6968940727804975</v>
      </c>
      <c r="G1076" s="1">
        <f>[1]Residential!C$112</f>
        <v>3.1682236531247985</v>
      </c>
      <c r="H1076" s="1">
        <f>[1]Residential!D$112</f>
        <v>0.46852170553737388</v>
      </c>
      <c r="I1076" s="1">
        <f>[1]Residential!E$112</f>
        <v>0.60628987568522719</v>
      </c>
      <c r="J1076" s="1">
        <f>[2]Residential!F$112</f>
        <v>0.64526162136473086</v>
      </c>
      <c r="K1076" s="1">
        <f>[2]Residential!G$112</f>
        <v>0.67272573028140181</v>
      </c>
      <c r="L1076" s="1">
        <f>[2]Residential!H$112</f>
        <v>0.55520096242848027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0.78534076052824076</v>
      </c>
      <c r="G1077" s="1">
        <f t="shared" ref="G1077:L1077" si="1232">G1078</f>
        <v>0.94130082291135464</v>
      </c>
      <c r="H1077" s="1">
        <f t="shared" si="1232"/>
        <v>3.2915453872830625E-2</v>
      </c>
      <c r="I1077" s="1">
        <f t="shared" si="1232"/>
        <v>3.948389953232255E-2</v>
      </c>
      <c r="J1077" s="1">
        <f t="shared" si="1232"/>
        <v>4.122556924304719E-2</v>
      </c>
      <c r="K1077" s="1">
        <f t="shared" si="1232"/>
        <v>4.2531374818538775E-2</v>
      </c>
      <c r="L1077" s="1">
        <f t="shared" si="1232"/>
        <v>4.1724302213098231E-2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0.78534076052824076</v>
      </c>
      <c r="G1078" s="1">
        <f>[1]Residential!C$113</f>
        <v>0.94130082291135464</v>
      </c>
      <c r="H1078" s="1">
        <f>[1]Residential!D$113</f>
        <v>3.2915453872830625E-2</v>
      </c>
      <c r="I1078" s="1">
        <f>[1]Residential!E$113</f>
        <v>3.948389953232255E-2</v>
      </c>
      <c r="J1078" s="1">
        <f>[2]Residential!F$113</f>
        <v>4.122556924304719E-2</v>
      </c>
      <c r="K1078" s="1">
        <f>[2]Residential!G$113</f>
        <v>4.2531374818538775E-2</v>
      </c>
      <c r="L1078" s="1">
        <f>[2]Residential!H$113</f>
        <v>4.1724302213098231E-2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6.6283111601525391E-2</v>
      </c>
      <c r="G1081" s="1">
        <f>[1]Residential!C$10-[1]Residential!C$223</f>
        <v>7.3831667879573946</v>
      </c>
      <c r="H1081" s="1">
        <f>[1]Residential!D$10-[1]Residential!D$223</f>
        <v>5.1235675819863289</v>
      </c>
      <c r="I1081" s="1">
        <f>[1]Residential!E$10-[1]Residential!E$223</f>
        <v>10.244102346402917</v>
      </c>
      <c r="J1081" s="1">
        <f>[2]Residential!F$10-[2]Residential!F$223</f>
        <v>15.07309335895947</v>
      </c>
      <c r="K1081" s="1">
        <f>[2]Residential!G$10-[2]Residential!G$223</f>
        <v>19.570207008543999</v>
      </c>
      <c r="L1081" s="1">
        <f>[2]Residential!H$10-[2]Residential!H$223</f>
        <v>27.88936645550724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26.978335646126425</v>
      </c>
      <c r="G1082" s="1">
        <f>[1]Residential!C$224</f>
        <v>25.930343680346066</v>
      </c>
      <c r="H1082" s="1">
        <f>[1]Residential!D$224</f>
        <v>21.680233317502282</v>
      </c>
      <c r="I1082" s="1">
        <f>[1]Residential!E$224</f>
        <v>22.174303248211661</v>
      </c>
      <c r="J1082" s="1">
        <f>[2]Residential!F$224</f>
        <v>24.219556908488439</v>
      </c>
      <c r="K1082" s="1">
        <f>[2]Residential!G$224</f>
        <v>26.856156043053911</v>
      </c>
      <c r="L1082" s="1">
        <f>[2]Residential!H$224</f>
        <v>28.736550281482945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9.88461359174525</v>
      </c>
      <c r="G1083" s="1">
        <f t="shared" ref="G1083:K1083" si="1234">SUM(G1084:G1085)</f>
        <v>10.604171044014141</v>
      </c>
      <c r="H1083" s="1">
        <f t="shared" si="1234"/>
        <v>7.8769342492453163</v>
      </c>
      <c r="I1083" s="1">
        <f t="shared" si="1234"/>
        <v>11.186094382973815</v>
      </c>
      <c r="J1083" s="1">
        <f t="shared" si="1234"/>
        <v>13.977639231531304</v>
      </c>
      <c r="K1083" s="1">
        <f t="shared" si="1234"/>
        <v>17.061318507167822</v>
      </c>
      <c r="L1083" s="1">
        <f t="shared" ref="L1083" si="1235">SUM(L1084:L1085)</f>
        <v>19.77003776518503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6.644708158729479</v>
      </c>
      <c r="G1084" s="1">
        <f>[1]Residential!C$231-G1058</f>
        <v>6.9687096137487323</v>
      </c>
      <c r="H1084" s="1">
        <f>[1]Residential!D$231-H1058</f>
        <v>2.8134260952924213</v>
      </c>
      <c r="I1084" s="1">
        <f>[1]Residential!E$231-I1058</f>
        <v>1.9810576159502573</v>
      </c>
      <c r="J1084" s="1">
        <f>[2]Residential!F$231-J1058</f>
        <v>1.8369891449544204</v>
      </c>
      <c r="K1084" s="1">
        <f>[2]Residential!G$231-K1058</f>
        <v>1.7153977331489281</v>
      </c>
      <c r="L1084" s="1">
        <f>[2]Residential!H$231-L1058</f>
        <v>1.5591591627904853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3.2399054330157711</v>
      </c>
      <c r="G1085" s="1">
        <f>[1]Residential!C$233-G1059</f>
        <v>3.6354614302654085</v>
      </c>
      <c r="H1085" s="1">
        <f>[1]Residential!D$233-H1059</f>
        <v>5.0635081539528954</v>
      </c>
      <c r="I1085" s="1">
        <f>[1]Residential!E$233-I1059</f>
        <v>9.2050367670235573</v>
      </c>
      <c r="J1085" s="1">
        <f>[2]Residential!F$233-J1059</f>
        <v>12.140650086576883</v>
      </c>
      <c r="K1085" s="1">
        <f>[2]Residential!G$233-K1059</f>
        <v>15.345920774018893</v>
      </c>
      <c r="L1085" s="1">
        <f>[2]Residential!H$233-L1059</f>
        <v>18.210878602394544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6.9844631177725276</v>
      </c>
      <c r="G1086" s="1">
        <f t="shared" ref="G1086:L1086" si="1236">G1087</f>
        <v>5.5478266506907019</v>
      </c>
      <c r="H1086" s="1">
        <f t="shared" si="1236"/>
        <v>4.4460751673001937</v>
      </c>
      <c r="I1086" s="1">
        <f t="shared" si="1236"/>
        <v>1.9705491751106976</v>
      </c>
      <c r="J1086" s="1">
        <f t="shared" si="1236"/>
        <v>1.2942699271150335</v>
      </c>
      <c r="K1086" s="1">
        <f t="shared" si="1236"/>
        <v>0.59660369060449225</v>
      </c>
      <c r="L1086" s="1">
        <f t="shared" si="1236"/>
        <v>3.1771595347376558E-2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6.9844631177725276</v>
      </c>
      <c r="G1087" s="1">
        <f>[1]Residential!C$234-G1061</f>
        <v>5.5478266506907019</v>
      </c>
      <c r="H1087" s="1">
        <f>[1]Residential!D$234-H1061</f>
        <v>4.4460751673001937</v>
      </c>
      <c r="I1087" s="1">
        <f>[1]Residential!E$234-I1061</f>
        <v>1.9705491751106976</v>
      </c>
      <c r="J1087" s="1">
        <f>[2]Residential!F$234-J1061</f>
        <v>1.2942699271150335</v>
      </c>
      <c r="K1087" s="1">
        <f>[2]Residential!G$234-K1061</f>
        <v>0.59660369060449225</v>
      </c>
      <c r="L1087" s="1">
        <f>[2]Residential!H$234-L1061</f>
        <v>3.1771595347376558E-2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6.3804526216007815</v>
      </c>
      <c r="G1088" s="1">
        <f t="shared" ref="G1088:K1088" si="1237">SUM(G1089:G1090)</f>
        <v>5.536154050751307</v>
      </c>
      <c r="H1088" s="1">
        <f t="shared" si="1237"/>
        <v>6.0654401071957125</v>
      </c>
      <c r="I1088" s="1">
        <f t="shared" si="1237"/>
        <v>4.9579504380606148</v>
      </c>
      <c r="J1088" s="1">
        <f t="shared" si="1237"/>
        <v>4.6073786879727665</v>
      </c>
      <c r="K1088" s="1">
        <f t="shared" si="1237"/>
        <v>4.4701966005213825</v>
      </c>
      <c r="L1088" s="1">
        <f t="shared" ref="L1088" si="1238">SUM(L1089:L1090)</f>
        <v>4.1934282436199304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6.3804526216007815</v>
      </c>
      <c r="G1089" s="1">
        <f>[1]Residential!C$235-G1063</f>
        <v>5.536154050751307</v>
      </c>
      <c r="H1089" s="1">
        <f>[1]Residential!D$235-H1063</f>
        <v>5.1881759829361194</v>
      </c>
      <c r="I1089" s="1">
        <f>[1]Residential!E$235-I1063</f>
        <v>3.222655771870258</v>
      </c>
      <c r="J1089" s="1">
        <f>[2]Residential!F$235-J1063</f>
        <v>2.0985758114130668</v>
      </c>
      <c r="K1089" s="1">
        <f>[2]Residential!G$235-K1063</f>
        <v>1.1357382973802155</v>
      </c>
      <c r="L1089" s="1">
        <f>[2]Residential!H$235-L1063</f>
        <v>0.44106037529797026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0.87726412425959266</v>
      </c>
      <c r="I1090" s="1">
        <f>[1]Residential!E$236-I1064</f>
        <v>1.7352946661903568</v>
      </c>
      <c r="J1090" s="1">
        <f>[2]Residential!F$236-J1064</f>
        <v>2.5088028765596997</v>
      </c>
      <c r="K1090" s="1">
        <f>[2]Residential!G$236-K1064</f>
        <v>3.334458303141167</v>
      </c>
      <c r="L1090" s="1">
        <f>[2]Residential!H$236-L1064</f>
        <v>3.7523678683219597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1.3170492303935788</v>
      </c>
      <c r="G1093" s="1">
        <f t="shared" ref="G1093:K1093" si="1239">SUM(G1094,G1098)</f>
        <v>1.4633764039036543</v>
      </c>
      <c r="H1093" s="1">
        <f t="shared" si="1239"/>
        <v>0.96167573491679104</v>
      </c>
      <c r="I1093" s="1">
        <f t="shared" si="1239"/>
        <v>1.3814714158491634</v>
      </c>
      <c r="J1093" s="1">
        <f t="shared" si="1239"/>
        <v>1.5122449739183121</v>
      </c>
      <c r="K1093" s="1">
        <f t="shared" si="1239"/>
        <v>1.6791697911646244</v>
      </c>
      <c r="L1093" s="1">
        <f t="shared" ref="L1093" si="1240">SUM(L1094,L1098)</f>
        <v>1.7662128227619327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1.5725635158153492E-2</v>
      </c>
      <c r="G1094" s="1">
        <f>[1]Residential!C$238-G1068</f>
        <v>8.9360176157478738E-3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1.5725635158153492E-2</v>
      </c>
      <c r="G1095" s="1">
        <f t="shared" ref="G1095:K1097" si="1241">IFERROR(G$1094/G$1043,0)*G1044</f>
        <v>8.9360176157478738E-3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1.3013235952354254</v>
      </c>
      <c r="G1098" s="1">
        <f>[1]Residential!C$239-G1072</f>
        <v>1.4544403862879065</v>
      </c>
      <c r="H1098" s="1">
        <f>[1]Residential!D$239-H1072</f>
        <v>0.96167573491679104</v>
      </c>
      <c r="I1098" s="1">
        <f>[1]Residential!E$239-I1072</f>
        <v>1.3814714158491634</v>
      </c>
      <c r="J1098" s="1">
        <f>[2]Residential!F$239-J1072</f>
        <v>1.5122449739183121</v>
      </c>
      <c r="K1098" s="1">
        <f>[2]Residential!G$239-K1072</f>
        <v>1.6791697911646244</v>
      </c>
      <c r="L1098" s="1">
        <f>[2]Residential!H$239-L1072</f>
        <v>1.7662128227619327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0.52047363200579788</v>
      </c>
      <c r="G1099" s="1">
        <f t="shared" ref="G1099:L1099" si="1245">G1100</f>
        <v>0.59724225609954651</v>
      </c>
      <c r="H1099" s="1">
        <f t="shared" si="1245"/>
        <v>1.2707759097219835</v>
      </c>
      <c r="I1099" s="1">
        <f t="shared" si="1245"/>
        <v>1.2703713443215268</v>
      </c>
      <c r="J1099" s="1">
        <f t="shared" si="1245"/>
        <v>1.1974885979457941</v>
      </c>
      <c r="K1099" s="1">
        <f t="shared" si="1245"/>
        <v>1.1272826179005184</v>
      </c>
      <c r="L1099" s="1">
        <f t="shared" si="1245"/>
        <v>0.83635311610662955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0.52047363200579788</v>
      </c>
      <c r="G1100" s="1">
        <f>[1]Residential!C$240-G1074</f>
        <v>0.59724225609954651</v>
      </c>
      <c r="H1100" s="1">
        <f>[1]Residential!D$240-H1074</f>
        <v>1.2707759097219835</v>
      </c>
      <c r="I1100" s="1">
        <f>[1]Residential!E$240-I1074</f>
        <v>1.2703713443215268</v>
      </c>
      <c r="J1100" s="1">
        <f>[2]Residential!F$240-J1074</f>
        <v>1.1974885979457941</v>
      </c>
      <c r="K1100" s="1">
        <f>[2]Residential!G$240-K1074</f>
        <v>1.1272826179005184</v>
      </c>
      <c r="L1100" s="1">
        <f>[2]Residential!H$240-L1074</f>
        <v>0.83635311610662955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0.16979542794863489</v>
      </c>
      <c r="G1101" s="1">
        <f t="shared" ref="G1101" si="1246">G1102</f>
        <v>0.19483786588253338</v>
      </c>
      <c r="H1101" s="1">
        <f t="shared" ref="H1101" si="1247">H1102</f>
        <v>0.10886455610227203</v>
      </c>
      <c r="I1101" s="1">
        <f t="shared" ref="I1101" si="1248">I1102</f>
        <v>0.15609747797389628</v>
      </c>
      <c r="J1101" s="1">
        <f t="shared" ref="J1101" si="1249">J1102</f>
        <v>0.18016722920789441</v>
      </c>
      <c r="K1101" s="1">
        <f t="shared" ref="K1101:L1101" si="1250">K1102</f>
        <v>0.20426557698364534</v>
      </c>
      <c r="L1101" s="1">
        <f t="shared" si="1250"/>
        <v>0.19943967926913875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0.16979542794863489</v>
      </c>
      <c r="G1102" s="1">
        <f>[1]Residential!C$241-G1076</f>
        <v>0.19483786588253338</v>
      </c>
      <c r="H1102" s="1">
        <f>[1]Residential!D$241-H1076</f>
        <v>0.10886455610227203</v>
      </c>
      <c r="I1102" s="1">
        <f>[1]Residential!E$241-I1076</f>
        <v>0.15609747797389628</v>
      </c>
      <c r="J1102" s="1">
        <f>[2]Residential!F$241-J1076</f>
        <v>0.18016722920789441</v>
      </c>
      <c r="K1102" s="1">
        <f>[2]Residential!G$241-K1076</f>
        <v>0.20426557698364534</v>
      </c>
      <c r="L1102" s="1">
        <f>[2]Residential!H$241-L1076</f>
        <v>0.19943967926913875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251">G1104</f>
        <v>1.9867354090041904</v>
      </c>
      <c r="H1103" s="1">
        <f t="shared" ref="H1103" si="1252">H1104</f>
        <v>0.95046759302000883</v>
      </c>
      <c r="I1103" s="1">
        <f t="shared" ref="I1103" si="1253">I1104</f>
        <v>1.2517690139219557</v>
      </c>
      <c r="J1103" s="1">
        <f t="shared" ref="J1103" si="1254">J1104</f>
        <v>1.4503682607973312</v>
      </c>
      <c r="K1103" s="1">
        <f t="shared" ref="K1103:L1103" si="1255">K1104</f>
        <v>1.717319258711435</v>
      </c>
      <c r="L1103" s="1">
        <f t="shared" si="1255"/>
        <v>1.9393070591929014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1.9867354090041904</v>
      </c>
      <c r="H1104" s="1">
        <f>[1]Residential!D$242-H1078</f>
        <v>0.95046759302000883</v>
      </c>
      <c r="I1104" s="1">
        <f>[1]Residential!E$242-I1078</f>
        <v>1.2517690139219557</v>
      </c>
      <c r="J1104" s="1">
        <f>[2]Residential!F$242-J1078</f>
        <v>1.4503682607973312</v>
      </c>
      <c r="K1104" s="1">
        <f>[2]Residential!G$242-K1078</f>
        <v>1.717319258711435</v>
      </c>
      <c r="L1104" s="1">
        <f>[2]Residential!H$242-L1078</f>
        <v>1.9393070591929014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263">IFERROR(G1058/G975,"-")</f>
        <v>0.95000000000000018</v>
      </c>
      <c r="H1109" s="4">
        <f t="shared" si="1263"/>
        <v>0.91767464934725307</v>
      </c>
      <c r="I1109" s="4">
        <f t="shared" si="1263"/>
        <v>0.91951113898441605</v>
      </c>
      <c r="J1109" s="4">
        <f t="shared" si="1263"/>
        <v>0.93428849086904686</v>
      </c>
      <c r="K1109" s="4">
        <f t="shared" si="1263"/>
        <v>0.94348489012858017</v>
      </c>
      <c r="L1109" s="4">
        <f t="shared" ref="L1109" si="1264">IFERROR(L1058/L975,"-")</f>
        <v>0.94806518624835301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3.253333333333329</v>
      </c>
      <c r="H1110" s="4">
        <f t="shared" si="1263"/>
        <v>2.9856661663313946</v>
      </c>
      <c r="I1110" s="4">
        <f t="shared" si="1263"/>
        <v>3.3334855639494605</v>
      </c>
      <c r="J1110" s="4">
        <f t="shared" si="1263"/>
        <v>3.5306386374051009</v>
      </c>
      <c r="K1110" s="4">
        <f t="shared" si="1263"/>
        <v>3.7265843217703245</v>
      </c>
      <c r="L1110" s="4">
        <f t="shared" ref="L1110" si="1265">IFERROR(L1059/L976,"-")</f>
        <v>4.0733962771192447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266">IFERROR(G1061/G985,"-")</f>
        <v>0.89583333333333348</v>
      </c>
      <c r="H1111" s="4">
        <f t="shared" si="1266"/>
        <v>0.85370603748339713</v>
      </c>
      <c r="I1111" s="4">
        <f t="shared" si="1266"/>
        <v>0.86804263474811139</v>
      </c>
      <c r="J1111" s="4">
        <f t="shared" si="1266"/>
        <v>0.86858956348911431</v>
      </c>
      <c r="K1111" s="4">
        <f t="shared" si="1266"/>
        <v>0.86860655957978716</v>
      </c>
      <c r="L1111" s="4">
        <f t="shared" ref="L1111" si="1267">IFERROR(L1061/L985,"-")</f>
        <v>0.86828751750555677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268">IFERROR(G1063/G998,"-")</f>
        <v>0.95</v>
      </c>
      <c r="H1112" s="4">
        <f t="shared" si="1268"/>
        <v>0.93444335653223332</v>
      </c>
      <c r="I1112" s="4">
        <f t="shared" si="1268"/>
        <v>0.93459681475596823</v>
      </c>
      <c r="J1112" s="4">
        <f t="shared" si="1268"/>
        <v>0.93426037607007784</v>
      </c>
      <c r="K1112" s="4">
        <f t="shared" si="1268"/>
        <v>0.9330067034922529</v>
      </c>
      <c r="L1112" s="4">
        <f t="shared" ref="L1112" si="1269">IFERROR(L1063/L998,"-")</f>
        <v>0.93867542036407481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1.8526276331075189</v>
      </c>
      <c r="I1113" s="4">
        <f t="shared" si="1270"/>
        <v>1.9293479825288262</v>
      </c>
      <c r="J1113" s="4">
        <f t="shared" si="1270"/>
        <v>1.9802858787588891</v>
      </c>
      <c r="K1113" s="4">
        <f t="shared" si="1270"/>
        <v>2.0291307642523413</v>
      </c>
      <c r="L1113" s="4">
        <f t="shared" ref="L1113" si="1271">IFERROR(L1064/L999,"-")</f>
        <v>2.1259194555176752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2">IFERROR(G1066/G1017,"-")</f>
        <v>0.71999999999999975</v>
      </c>
      <c r="H1114" s="4">
        <f t="shared" si="1272"/>
        <v>0.79930945612663762</v>
      </c>
      <c r="I1114" s="4">
        <f t="shared" si="1272"/>
        <v>0.7999999999999996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274">IFERROR(G1074/G1022,"-")</f>
        <v>0.71999999999999986</v>
      </c>
      <c r="H1119" s="4">
        <f t="shared" si="1274"/>
        <v>0.72055926837492223</v>
      </c>
      <c r="I1119" s="4">
        <f t="shared" si="1274"/>
        <v>0.7260956537579335</v>
      </c>
      <c r="J1119" s="4">
        <f t="shared" si="1274"/>
        <v>0.72776496123380952</v>
      </c>
      <c r="K1119" s="4">
        <f t="shared" si="1274"/>
        <v>0.72992525888588256</v>
      </c>
      <c r="L1119" s="4">
        <f t="shared" ref="L1119" si="1275">IFERROR(L1074/L1022,"-")</f>
        <v>0.7489962898691046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276">IFERROR(G1076/G1027,"-")</f>
        <v>0.90000000000000047</v>
      </c>
      <c r="H1120" s="4">
        <f t="shared" si="1276"/>
        <v>0.73786592864030853</v>
      </c>
      <c r="I1120" s="4">
        <f t="shared" si="1276"/>
        <v>0.73957683356853987</v>
      </c>
      <c r="J1120" s="4">
        <f t="shared" si="1276"/>
        <v>0.74031471676827609</v>
      </c>
      <c r="K1120" s="4">
        <f t="shared" si="1276"/>
        <v>0.74109140470824153</v>
      </c>
      <c r="L1120" s="4">
        <f t="shared" ref="L1120" si="1277">IFERROR(L1076/L1027,"-")</f>
        <v>0.74782794844919398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280">IFERROR(G1084/G978,"-")</f>
        <v>0.79199999999999982</v>
      </c>
      <c r="H1123" s="4">
        <f t="shared" si="1280"/>
        <v>0.46564650876640512</v>
      </c>
      <c r="I1123" s="4">
        <f t="shared" si="1280"/>
        <v>0.4851306404908754</v>
      </c>
      <c r="J1123" s="4">
        <f t="shared" si="1280"/>
        <v>0.4960679627801961</v>
      </c>
      <c r="K1123" s="4">
        <f t="shared" si="1280"/>
        <v>0.5045063364084218</v>
      </c>
      <c r="L1123" s="4">
        <f t="shared" ref="L1123" si="1281">IFERROR(L1084/L978,"-")</f>
        <v>0.51892521383196866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2.8200000000000012</v>
      </c>
      <c r="G1124" s="4">
        <f t="shared" si="1280"/>
        <v>2.8260000000000036</v>
      </c>
      <c r="H1124" s="4">
        <f t="shared" si="1280"/>
        <v>1.8852023477859694</v>
      </c>
      <c r="I1124" s="4">
        <f t="shared" si="1280"/>
        <v>2.1566251432694217</v>
      </c>
      <c r="J1124" s="4">
        <f t="shared" si="1280"/>
        <v>2.3199741467076005</v>
      </c>
      <c r="K1124" s="4">
        <f t="shared" si="1280"/>
        <v>2.4662028823215913</v>
      </c>
      <c r="L1124" s="4">
        <f t="shared" ref="L1124" si="1282">IFERROR(L1085/L979,"-")</f>
        <v>2.7450872277468492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0.70833333333333204</v>
      </c>
      <c r="G1125" s="4">
        <f t="shared" ref="G1125:K1125" si="1283">IFERROR(G1087/G991,"-")</f>
        <v>0.71458333333333257</v>
      </c>
      <c r="H1125" s="4">
        <f t="shared" si="1283"/>
        <v>0.50144366903101667</v>
      </c>
      <c r="I1125" s="4">
        <f t="shared" si="1283"/>
        <v>0.53560712669759847</v>
      </c>
      <c r="J1125" s="4">
        <f t="shared" si="1283"/>
        <v>0.54899331319994227</v>
      </c>
      <c r="K1125" s="4">
        <f t="shared" si="1283"/>
        <v>0.55552806280870093</v>
      </c>
      <c r="L1125" s="4">
        <f t="shared" ref="L1125" si="1284">IFERROR(L1087/L991,"-")</f>
        <v>0.58568904682114642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0.75000000000000189</v>
      </c>
      <c r="G1126" s="4">
        <f t="shared" ref="G1126:K1126" si="1285">IFERROR(G1089/G1007,"-")</f>
        <v>0.75400000000000211</v>
      </c>
      <c r="H1126" s="4">
        <f t="shared" si="1285"/>
        <v>0.52868651558452018</v>
      </c>
      <c r="I1126" s="4">
        <f t="shared" si="1285"/>
        <v>0.55146439229039734</v>
      </c>
      <c r="J1126" s="4">
        <f t="shared" si="1285"/>
        <v>0.55506286257742532</v>
      </c>
      <c r="K1126" s="4">
        <f t="shared" si="1285"/>
        <v>0.56424591993863282</v>
      </c>
      <c r="L1126" s="4">
        <f t="shared" ref="L1126" si="1286">IFERROR(L1089/L1007,"-")</f>
        <v>0.56971469472552116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2.0052414645307399</v>
      </c>
      <c r="I1127" s="4">
        <f t="shared" si="1287"/>
        <v>2.2895743631667198</v>
      </c>
      <c r="J1127" s="4">
        <f t="shared" si="1287"/>
        <v>2.4774415610648184</v>
      </c>
      <c r="K1127" s="4">
        <f t="shared" si="1287"/>
        <v>2.6488423821107987</v>
      </c>
      <c r="L1127" s="4">
        <f t="shared" ref="L1127" si="1288">IFERROR(L1090/L1008,"-")</f>
        <v>3.1855087784083471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289">IFERROR(G1100/G1024,"-")</f>
        <v>0.49999999999999989</v>
      </c>
      <c r="H1132" s="4">
        <f t="shared" si="1289"/>
        <v>0.43911546406961105</v>
      </c>
      <c r="I1132" s="4">
        <f t="shared" si="1289"/>
        <v>0.45230912560523717</v>
      </c>
      <c r="J1132" s="4">
        <f t="shared" si="1289"/>
        <v>0.4618574110962711</v>
      </c>
      <c r="K1132" s="4">
        <f t="shared" si="1289"/>
        <v>0.47212632923954895</v>
      </c>
      <c r="L1132" s="4">
        <f t="shared" ref="L1132" si="1290">IFERROR(L1100/L1024,"-")</f>
        <v>0.49609062646295565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291">IFERROR(G1102/G1029,"-")</f>
        <v>0.62499999999999978</v>
      </c>
      <c r="H1133" s="4">
        <f t="shared" si="1291"/>
        <v>0.45620574813728626</v>
      </c>
      <c r="I1133" s="4">
        <f t="shared" si="1291"/>
        <v>0.46607983012118964</v>
      </c>
      <c r="J1133" s="4">
        <f t="shared" si="1291"/>
        <v>0.47301798793934424</v>
      </c>
      <c r="K1133" s="4">
        <f t="shared" si="1291"/>
        <v>0.48108261464816898</v>
      </c>
      <c r="L1133" s="4">
        <f t="shared" ref="L1133" si="1292">IFERROR(L1102/L1029,"-")</f>
        <v>0.49632130526916324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139.10901304563157</v>
      </c>
      <c r="G1136" s="3">
        <f t="shared" si="1295"/>
        <v>133.30035883396201</v>
      </c>
      <c r="H1136" s="3">
        <f t="shared" si="1295"/>
        <v>121.16690581598104</v>
      </c>
      <c r="I1136" s="3">
        <f t="shared" si="1295"/>
        <v>87.579374328983405</v>
      </c>
      <c r="J1136" s="3">
        <f t="shared" si="1295"/>
        <v>58.405220556305601</v>
      </c>
      <c r="K1136" s="3">
        <f t="shared" si="1295"/>
        <v>49.831483409068198</v>
      </c>
      <c r="L1136" s="3">
        <f t="shared" ref="L1136" si="1296">L1137+L1152+L1157+L1180+L1203</f>
        <v>38.635235788729169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0.7419054927139801</v>
      </c>
      <c r="G1137" s="1">
        <f t="shared" ref="G1137:K1137" si="1297">SUM(G1138:G1151)</f>
        <v>1.7836920174801887</v>
      </c>
      <c r="H1137" s="1">
        <f t="shared" si="1297"/>
        <v>4.4704323958434085</v>
      </c>
      <c r="I1137" s="1">
        <f t="shared" si="1297"/>
        <v>18.436005649704178</v>
      </c>
      <c r="J1137" s="1">
        <f t="shared" si="1297"/>
        <v>32.880973254156189</v>
      </c>
      <c r="K1137" s="1">
        <f t="shared" si="1297"/>
        <v>37.284364540970913</v>
      </c>
      <c r="L1137" s="1">
        <f t="shared" ref="L1137" si="1298">SUM(L1138:L1151)</f>
        <v>37.221071954525456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0.4678904532325312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0.3769323031298103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0.26222606541169596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0.1130952081888144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7.8464462035426428E-3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1.3441530034563446E-2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1.0229470042525389E-2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0.51608365024628267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1.005808455249886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1.2045794021884275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1.1561612632966802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6.6257052139782294E-2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0.10386274328935957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0.13065470449446687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5.2044443534693778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10.607756306487097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11.676331163987312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10.504942373052534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4.6116533481808733E-2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0.12050495930419249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0.52533359814013303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0.45906174337772671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0.67370524166028667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4.5996373768105752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9.0570330865679125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0.15011165039276206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1.0634843019267042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3.2113794070714237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10.170154680967368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16.21528744715901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16.478103781626892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15.490307995975137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7.249135249656794E-5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1.032597507333346E-4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2.3305608202925512E-4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1.7253939657792846E-4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1.2617881695476779E-4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3.6672485611433305E-5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3.6833572635530912E-3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7.9845561493208685E-3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9.4182973930840557E-3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1.4223418898069801E-2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5.4518570505227848E-3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1.3776703823054448E-3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2.029852183955877E-4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4.0698062843475644E-2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0.16263050967947604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1.0949897844417043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2.4729462334171717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2.1630841399569651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0.59096893078801804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1.7804408543264139E-2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2.0933726844440191E-2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4.0475458496785646E-2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6.4345245736229769E-3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1.7027701602460878E-3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2.0663655419850732E-4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6.5523126648300424E-5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9.5532347770987768E-5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2.2613264975789566E-4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1.7538036227524617E-4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1.2670068650107738E-4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3.7016533715378573E-5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6.4932420215579436E-5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2.2107692733202804E-4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2.530741144105746E-3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1.2697387669458165E-2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2.7364021330649364E-3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2.1142701332942069E-4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3.7365571038855731E-2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0.13524466286226092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0.78740925582418142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1.7881753274782908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1.0663646890453538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0.41286209899762216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1.4106343212823577E-3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1.9620848780662033E-3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1.5217251083398794E-2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3.3703758091220767E-3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1.6409387906152987E-3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2.0794255318653528E-4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1.7860914834579029E-2</v>
      </c>
      <c r="J1151" s="1">
        <f>[2]Transport!F$32</f>
        <v>8.899217784286545E-2</v>
      </c>
      <c r="K1151" s="1">
        <f>[2]Transport!G$32</f>
        <v>8.8553326385706496E-2</v>
      </c>
      <c r="L1151" s="1">
        <f>[2]Transport!H$32</f>
        <v>7.8935254891164507E-3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8.4838600230266567E-4</v>
      </c>
      <c r="G1152" s="1">
        <f t="shared" ref="G1152:K1152" si="1303">SUM(G1153:G1156)</f>
        <v>2.054781507168158E-3</v>
      </c>
      <c r="H1152" s="1">
        <f t="shared" si="1303"/>
        <v>1.9839872413707407E-3</v>
      </c>
      <c r="I1152" s="1">
        <f t="shared" si="1303"/>
        <v>3.794880376819297E-5</v>
      </c>
      <c r="J1152" s="1">
        <f t="shared" si="1303"/>
        <v>2.811843928275119E-5</v>
      </c>
      <c r="K1152" s="1">
        <f t="shared" si="1303"/>
        <v>2.5687134238741095E-5</v>
      </c>
      <c r="L1152" s="1">
        <f t="shared" ref="L1152" si="1304">SUM(L1153:L1156)</f>
        <v>2.598901959266857E-5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3.6495861882692456E-5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4.6662611512486598E-5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2.9286437807841621E-6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3.6588444996678192E-6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3.6549335769259088E-6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3.1584957685435193E-6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8.2218719507557326E-5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1.1980264565225035E-4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1.2707600354091087E-4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9.6410485461608145E-6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7.6826475716848217E-6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7.1280787007312586E-6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6.9674690824914715E-6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7.6616728279510829E-4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1.8635030283819661E-3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1.7653566055284182E-3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1.8831163442815146E-5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9.5443490811197339E-6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7.987414355843348E-6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8.5956101712292368E-6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3.4979971251249272E-5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4.4892020788925075E-5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6.5479479984328434E-6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7.2325981302788142E-6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6.9167076052405808E-6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7.2674445704043436E-6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78.014135272814443</v>
      </c>
      <c r="G1157" s="1">
        <f t="shared" ref="G1157:K1157" si="1305">SUM(G1162:G1179)</f>
        <v>72.384643083128907</v>
      </c>
      <c r="H1157" s="1">
        <f t="shared" si="1305"/>
        <v>70.759876775138181</v>
      </c>
      <c r="I1157" s="1">
        <f t="shared" si="1305"/>
        <v>41.372279231434533</v>
      </c>
      <c r="J1157" s="1">
        <f t="shared" si="1305"/>
        <v>16.315904688354895</v>
      </c>
      <c r="K1157" s="1">
        <f t="shared" si="1305"/>
        <v>6.7920787816148449</v>
      </c>
      <c r="L1157" s="1">
        <f t="shared" ref="L1157" si="1306">SUM(L1162:L1179)</f>
        <v>0.83749765160940282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73.743531386422745</v>
      </c>
      <c r="G1158" s="1">
        <f t="shared" si="1307"/>
        <v>68.421863238646381</v>
      </c>
      <c r="H1158" s="1">
        <f t="shared" si="1307"/>
        <v>66.886430648317358</v>
      </c>
      <c r="I1158" s="1">
        <f t="shared" si="1307"/>
        <v>39.107199410712447</v>
      </c>
      <c r="J1158" s="1">
        <f t="shared" si="1307"/>
        <v>15.422342435553716</v>
      </c>
      <c r="K1158" s="1">
        <f>IF(K1157-K1159&lt;0,0,K1157-K1159)</f>
        <v>5.9398728789787008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4.2706038863916946</v>
      </c>
      <c r="G1159" s="1">
        <f t="shared" ref="G1159" si="1309">SUM(G1160:G1161)</f>
        <v>3.9627798444825282</v>
      </c>
      <c r="H1159" s="1">
        <f t="shared" ref="H1159" si="1310">SUM(H1160:H1161)</f>
        <v>3.8734461268208267</v>
      </c>
      <c r="I1159" s="1">
        <f t="shared" ref="I1159" si="1311">SUM(I1160:I1161)</f>
        <v>2.2650798207220864</v>
      </c>
      <c r="J1159" s="1">
        <f t="shared" ref="J1159" si="1312">SUM(J1160:J1161)</f>
        <v>0.8935622528011784</v>
      </c>
      <c r="K1159" s="1">
        <f t="shared" ref="K1159:L1159" si="1313">SUM(K1160:K1161)</f>
        <v>0.85220590263614382</v>
      </c>
      <c r="L1159" s="1">
        <f t="shared" si="1313"/>
        <v>0.83937664291210756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4.2706038863916946</v>
      </c>
      <c r="G1160" s="1">
        <f>[1]Transport!C$25/SUM([1]Transport!C$21,[1]Transport!C$25)*G1157*(G$35+G$600)/(G$35+G$600+G$39)</f>
        <v>3.9627798444825282</v>
      </c>
      <c r="H1160" s="1">
        <f>[1]Transport!D$25/SUM([1]Transport!D$21,[1]Transport!D$25)*H1157*(H$35+H$600)/(H$35+H$600+H$39)</f>
        <v>3.8734461268208267</v>
      </c>
      <c r="I1160" s="1">
        <f>[1]Transport!E$25/SUM([1]Transport!E$21,[1]Transport!E$25)*I1157*(I$35+I$600)/(I$35+I$600+I$39)</f>
        <v>2.2650798207220864</v>
      </c>
      <c r="J1160" s="1">
        <f>[2]Transport!F$25/SUM([2]Transport!F$21,[2]Transport!F$25)*J1157*(J$35+J$600)/(J$35+J$600+J$39)</f>
        <v>0.8935622528011784</v>
      </c>
      <c r="K1160" s="1">
        <f>[2]Transport!G$25/SUM([2]Transport!G$21,[2]Transport!G$25)*K1157*(K$35+K$600)/(K$35+K$600+K$39)</f>
        <v>0.851577080203336</v>
      </c>
      <c r="L1160" s="1">
        <f>[2]Transport!H$25/SUM([2]Transport!H$21,[2]Transport!H$25)*L1157*(L$35+L$600)/(L$35+L$600+L$39)</f>
        <v>0.71152768607349437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6.2882243280787181E-4</v>
      </c>
      <c r="L1161" s="1">
        <f>(L$39+L$719)/([2]Transport!H$21+[2]Transport!H$25)*L1157</f>
        <v>0.12784895683861322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1.2540723731851358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1.2428792044378716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0.92517616981321527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0.43896158791999057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4.5668375383882465E-2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5.4234891363697905E-2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3.8369160911766308E-2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3.0085369949006749E-2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2.6204128733281922E-3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3.3743427206329166E-4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0.13914638541117022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0.20958201200662538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0.80839176994213924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0.70088368725367001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0.31921077276751997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3.8861893547713598E-2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0.10279668954586449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1.2402179947961895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1.1731356469430259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0.93846600781116674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0.29955518577134949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1.2298195120118461E-4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9.073459267231046E-2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0.13567206366603732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0.12813630328784942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0.10859684185840275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1.58625994708027E-2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1.363602051937408E-4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63.987649156708535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51.676886948349328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42.346545333051822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13.048421932979917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0.49602913868835519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0.55128995375756185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1.370077393925013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1.1590177071356833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0.63677789473016166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8.4430379399261291E-2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3.8577523049870881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5.3073534479883548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6.5090537354298723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5.223887496713278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0.7371416249491175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7.8270931539168559E-2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3.7990985182493282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5.7408188145391117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5.7238065000538825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4.6155270616627577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0.99306159772456049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9.8889878751971361E-2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3.901313159952748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5.2548119720564763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9.5831875693641511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7.9779333813363458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1.6492624047137519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0.19877805886516736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4.5318132501847625E-4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1.1111156938234507E-3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1.5750156482697926E-3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7.5370775262557433E-4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2.4359501496684947E-4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3.8644968729882877E-4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1.3638508190128161E-3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1.9117437570308204E-3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8.2203182455824328E-4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2.5259741577081152E-4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4.8341360887713412E-4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1.5972108855658194E-3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2.0311808445997799E-3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8.3289700451116984E-4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2.3194613017470296E-4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5.5495268638041458E-4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1.941099378531037E-3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2.6083483173562245E-3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1.0898941126387045E-3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3.3426758614052405E-4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2.9618493846837626E-4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1.6307890774310556E-3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1.8486441604127579E-3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2.3752882584614386E-3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1.3208828675201447E-3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6.1264004696231415E-4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8.8976699440327525E-5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7.8426928516747263E-2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0.14850697516934122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0.13920350838572915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0.11944277618170758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3.487625512313041E-2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1.3663453671420103E-2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3.9006324498237061E-4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9.0115299594345624E-2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0.55452992927962119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1.759520913649824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6.7267882983776319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11.589673741393831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6.2714572806697815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0.83669959422572837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0.17103616498046426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0.26435008933369003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0.24741084944254069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0.2737655054292501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3.304278527548779E-2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5.4550825478877378E-3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3.1901743925177942E-4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60.240035861651819</v>
      </c>
      <c r="G1180" s="1">
        <f t="shared" ref="G1180:K1180" si="1314">SUM(G1185:G1202)</f>
        <v>59.019708183113856</v>
      </c>
      <c r="H1180" s="1">
        <f t="shared" si="1314"/>
        <v>45.824802842208157</v>
      </c>
      <c r="I1180" s="1">
        <f t="shared" si="1314"/>
        <v>27.770355341444574</v>
      </c>
      <c r="J1180" s="1">
        <f t="shared" si="1314"/>
        <v>9.2081660359081496</v>
      </c>
      <c r="K1180" s="1">
        <f t="shared" si="1314"/>
        <v>5.7550088328338571</v>
      </c>
      <c r="L1180" s="1">
        <f t="shared" ref="L1180" si="1315">SUM(L1185:L1202)</f>
        <v>0.57664019357472029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58.738587979100821</v>
      </c>
      <c r="G1181" s="1">
        <f t="shared" ref="G1181:L1181" si="1316">IF(G1180-G1182&lt;0,0,G1180-G1182)</f>
        <v>57.481400379334531</v>
      </c>
      <c r="H1181" s="1">
        <f t="shared" si="1316"/>
        <v>43.768509668373127</v>
      </c>
      <c r="I1181" s="1">
        <f t="shared" si="1316"/>
        <v>26.525933732164308</v>
      </c>
      <c r="J1181" s="1">
        <f t="shared" si="1316"/>
        <v>8.5156915297586302</v>
      </c>
      <c r="K1181" s="1">
        <f t="shared" si="1316"/>
        <v>5.1918388234458357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1.5014478825510007</v>
      </c>
      <c r="G1182" s="1">
        <f t="shared" ref="G1182" si="1320">SUM(G1183:G1184)</f>
        <v>1.5383078037793236</v>
      </c>
      <c r="H1182" s="1">
        <f t="shared" ref="H1182" si="1321">SUM(H1183:H1184)</f>
        <v>2.0562931738350296</v>
      </c>
      <c r="I1182" s="1">
        <f t="shared" ref="I1182" si="1322">SUM(I1183:I1184)</f>
        <v>1.2444216092802654</v>
      </c>
      <c r="J1182" s="1">
        <f t="shared" ref="J1182" si="1323">SUM(J1183:J1184)</f>
        <v>0.69247450614951855</v>
      </c>
      <c r="K1182" s="1">
        <f t="shared" ref="K1182:L1182" si="1324">SUM(K1183:K1184)</f>
        <v>0.56317000938802153</v>
      </c>
      <c r="L1182" s="1">
        <f t="shared" si="1324"/>
        <v>0.5768182338261898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1.5014478825510007</v>
      </c>
      <c r="G1183" s="1">
        <f>[1]Transport!C$26/SUM([1]Transport!C$22,[1]Transport!C$26)*G1180*(G$34+G$582)/(G$34+G$582+G$38)</f>
        <v>1.5383078037793236</v>
      </c>
      <c r="H1183" s="1">
        <f>[1]Transport!D$26/SUM([1]Transport!D$22,[1]Transport!D$26)*H1180*(H$34+H$582)/(H$34+H$582+H$38)</f>
        <v>2.0562931738350296</v>
      </c>
      <c r="I1183" s="1">
        <f>[1]Transport!E$26/SUM([1]Transport!E$22,[1]Transport!E$26)*I1180*(I$34+I$582)/(I$34+I$582+I$38)</f>
        <v>1.2444216092802654</v>
      </c>
      <c r="J1183" s="1">
        <f>[2]Transport!F$26/SUM([2]Transport!F$22,[2]Transport!F$26)*J1180*(J$34+J$582)/(J$34+J$582+J$38)</f>
        <v>0.69247450614951855</v>
      </c>
      <c r="K1183" s="1">
        <f>[2]Transport!G$26/SUM([2]Transport!G$22,[2]Transport!G$26)*K1180*(K$34+K$582)/(K$34+K$582+K$38)</f>
        <v>0.56300332816458276</v>
      </c>
      <c r="L1183" s="1">
        <f>[2]Transport!H$26/SUM([2]Transport!H$22,[2]Transport!H$26)*L1180*(L$34+L$582)/(L$34+L$582+L$38)</f>
        <v>0.56470344186309585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1.6668122343876596E-4</v>
      </c>
      <c r="L1184" s="1">
        <f>(L$38+L$718)/([2]Transport!H$22+[2]Transport!H$26)*L1180</f>
        <v>1.2114791963093981E-2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3.113550869005707E-5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0.17941945131493947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0.11962963330157481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9.6516772368273787E-2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3.3497768440730082E-2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1.8381764560014931E-4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2.7516155526826234E-3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0.66808412111739224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1.2467820695416123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1.048544443463433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0.55906009664579837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3.7873412854340462E-2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2.895655389276873E-2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4.5829202743630108E-2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4.4233225087690578E-2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3.3333433663557552E-2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6.3850602721720624E-3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1.0365750673062262E-4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3.5195927631566155E-2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7.1439353272699777E-2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6.8084686853722765E-2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5.6050953484140693E-2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1.2525333341247748E-2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1.1134265898770776E-4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52.132019828471698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48.700921180869045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34.313979644105437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15.103499013731644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5.092110728896349E-3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6.380512975048892E-3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5.2211042676288035E-3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4.1547334088579821E-3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6.577053034180463E-4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1.6108498291903062E-4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1.0910832175403236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1.2834140853821596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1.1122103579842955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0.83019396909559884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2.1013034826517913E-2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1.7575305496154222E-4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5.0059645619547357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5.3269762184919216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5.2763064488471789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4.0296031832632231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0.1383283663171605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1.619595438085112E-4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1.9332030054785181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2.2107709989826292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2.1645397189948588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1.6714375991000654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7.7459063891421348E-2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1.1621050466453129E-4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3.8425409862173708E-4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8.5976790343656709E-4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1.2065636002851175E-3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5.7928206693328571E-4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1.8752549316636486E-4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3.3403316118506315E-4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1.0651846425508774E-3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1.5139691323836082E-3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6.5110318963866847E-4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2.0313819953654273E-4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4.0369205680224518E-4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1.1908208418836904E-3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1.5349929416922689E-3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6.4013614686224787E-4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1.8279998035481372E-4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3.1611522552520626E-4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8.045587341886383E-4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1.068442281704003E-3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4.2640793275959841E-4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1.2468954375224493E-4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1.7037705631642581E-5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1.4455580314265762E-3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1.675876509266124E-3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2.260214097137865E-3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1.3144110559244208E-3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6.0535184554842399E-4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8.8060899392236217E-5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6.9445882527836797E-6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1.1978362701740139E-3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3.2661342189087349E-3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2.0956940705040256E-2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8.019575923237271E-2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4.7209160187368593E-2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4.0168112553042761E-4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9.8013159299603834E-5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0.50172650813704522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1.4419666687517212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4.7669398112432004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8.2584405785448087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5.6609201802023801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0.57583207017860294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5.6159094387577945E-3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2.0665060983603562E-2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2.2986941622206221E-2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0.1015403058643369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1.6991928700383966E-2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6.6887486297371665E-3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3.1838137119469218E-4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0.1120880324490364</v>
      </c>
      <c r="G1203" s="1">
        <f t="shared" ref="G1203:K1203" si="1325">SUM(G1208:G1212)</f>
        <v>0.11026076873188689</v>
      </c>
      <c r="H1203" s="1">
        <f t="shared" si="1325"/>
        <v>0.10980981554992712</v>
      </c>
      <c r="I1203" s="1">
        <f t="shared" si="1325"/>
        <v>6.961575963515237E-4</v>
      </c>
      <c r="J1203" s="1">
        <f t="shared" si="1325"/>
        <v>1.4845944708057515E-4</v>
      </c>
      <c r="K1203" s="1">
        <f t="shared" si="1325"/>
        <v>5.5665143364563842E-6</v>
      </c>
      <c r="L1203" s="1">
        <f t="shared" ref="L1203" si="1326">SUM(L1208:L1212)</f>
        <v>0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0.10362879362513165</v>
      </c>
      <c r="G1204" s="1">
        <f t="shared" ref="G1204:L1204" si="1327">IF(G1203-G1205&lt;0,0,G1203-G1205)</f>
        <v>9.970620225528351E-2</v>
      </c>
      <c r="H1204" s="1">
        <f t="shared" si="1327"/>
        <v>0.10869740178938136</v>
      </c>
      <c r="I1204" s="1">
        <f t="shared" si="1327"/>
        <v>6.8132741714958551E-4</v>
      </c>
      <c r="J1204" s="1">
        <f t="shared" si="1327"/>
        <v>0</v>
      </c>
      <c r="K1204" s="1">
        <f t="shared" si="1327"/>
        <v>0</v>
      </c>
      <c r="L1204" s="1">
        <f t="shared" si="1327"/>
        <v>0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8.4592388239047422E-3</v>
      </c>
      <c r="G1205" s="1">
        <f t="shared" ref="G1205" si="1328">SUM(G1206:G1207)</f>
        <v>1.0554566476603388E-2</v>
      </c>
      <c r="H1205" s="1">
        <f t="shared" ref="H1205" si="1329">SUM(H1206:H1207)</f>
        <v>1.1124137605457622E-3</v>
      </c>
      <c r="I1205" s="1">
        <f t="shared" ref="I1205" si="1330">SUM(I1206:I1207)</f>
        <v>1.4830179201938203E-5</v>
      </c>
      <c r="J1205" s="1">
        <f t="shared" ref="J1205" si="1331">SUM(J1206:J1207)</f>
        <v>4.5775636126776972E-2</v>
      </c>
      <c r="K1205" s="1">
        <f t="shared" ref="K1205:L1205" si="1332">SUM(K1206:K1207)</f>
        <v>2.295250882617743E-5</v>
      </c>
      <c r="L1205" s="1">
        <f t="shared" si="1332"/>
        <v>0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8.4592388239047422E-3</v>
      </c>
      <c r="G1206" s="1">
        <f>[1]Transport!C$27/SUM([1]Transport!C$24,[1]Transport!C$27)*G1203*(G$47+G$614)/(G$47+G$614+G$49)</f>
        <v>1.0554566476603388E-2</v>
      </c>
      <c r="H1206" s="1">
        <f>[1]Transport!D$27/SUM([1]Transport!D$24,[1]Transport!D$27)*H1203*(H$47+H$614)/(H$47+H$614+H$49)</f>
        <v>1.1124137605457622E-3</v>
      </c>
      <c r="I1206" s="1">
        <f>[1]Transport!E$27/SUM([1]Transport!E$24,[1]Transport!E$27)*I1203*(I$47+I$614)/(I$47+I$614+I$49)</f>
        <v>1.4830179201938203E-5</v>
      </c>
      <c r="J1206" s="1">
        <f>[2]Transport!F$27/SUM([2]Transport!F$24,[2]Transport!F$27)*J1203*(J$47+J$614)/(J$47+J$614+J$49)</f>
        <v>1.313465126328607E-6</v>
      </c>
      <c r="K1206" s="1">
        <f>[2]Transport!G$27/SUM([2]Transport!G$24,[2]Transport!G$27)*K1203*(K$47+K$614)/(K$47+K$614+K$49)</f>
        <v>7.4765958602918991E-7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4.5774322661650643E-2</v>
      </c>
      <c r="K1207" s="1">
        <f>(K$49+K$716)/([2]Transport!G$24+[2]Transport!G$27)*K1203</f>
        <v>2.2204849240148239E-5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3.5894602543918176E-3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2.8891709583403098E-3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2.2653136157220074E-3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1.3560528901047702E-4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2.8596845840326615E-5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0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5.5928070988400046E-2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5.5397614284986886E-2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5.8726996540022613E-2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7.9705736251234455E-5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2.2454921008045751E-5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1.4123484484563646E-6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4.3061644143014589E-3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4.7770064430444452E-3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4.870168184030757E-3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4.3287097966684821E-4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7.7934438979514973E-5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2.2330035892348969E-6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4.8264336791943065E-2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4.7196977045515252E-2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4.3947337210151746E-2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4.7975591422964016E-5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1.9473241252687828E-5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1.9211622987651225E-6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49.003190278102245</v>
      </c>
      <c r="G1213" s="3">
        <f t="shared" ref="G1213:K1213" si="1333">SUM(G1214:G1263)</f>
        <v>55.671172353764831</v>
      </c>
      <c r="H1213" s="3">
        <f t="shared" si="1333"/>
        <v>58.440065270355838</v>
      </c>
      <c r="I1213" s="3">
        <f t="shared" si="1333"/>
        <v>62.339297485690388</v>
      </c>
      <c r="J1213" s="3">
        <f t="shared" si="1333"/>
        <v>62.610096986433881</v>
      </c>
      <c r="K1213" s="3">
        <f t="shared" si="1333"/>
        <v>62.340723613846521</v>
      </c>
      <c r="L1213" s="3">
        <f t="shared" ref="L1213" si="1334">SUM(L1214:L1263)</f>
        <v>61.147502572700368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0.41619417017516924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0.36070362215045843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0.27746020213314171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0.13873150229437511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1.4215186678584296E-2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2.4351643244663775E-2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1.8532444179867071E-2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0.9349742851360956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1.8759911006759278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2.3177982960453285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2.4473388606317581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9.6986958106558191E-2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0.15203410364508302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0.19125213002981098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7.6182566259203783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16.121397000499393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18.165363795799831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18.046189955596514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6.1678683379679293E-2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0.16116968621538563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0.70260885244495519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0.61397337969228338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0.94736375235457349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6.7712571574549312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14.513663930030223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0.19439052276699187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1.3771833756081957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4.1586493793813322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13.170074940097637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21.527342042766207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22.735170482414759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23.574162370172139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2.1079250968609133E-4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1.2952725464266638E-3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1.5068526751996166E-3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2.1185320160925433E-3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1.2631481756020728E-3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6.9174838574767583E-4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1.4194230345707039E-4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5.1497124222844678E-2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9.902956984012834E-2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9.5732834515817503E-2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9.1375474441998852E-2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2.8980449902673181E-2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1.0671637325058049E-2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5.900562275200211E-4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4.9161090031127071E-2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0.35954241657175828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1.1877569343489858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5.2039722711673511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9.95910070581537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6.9565538344156028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1.5101018713336656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8.8897019044153272E-2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0.16124478878615608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0.15663220665003855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0.19650445028350627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2.6122974042743982E-2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5.4053321134035302E-3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4.8630677504154623E-4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1.2410361825887827E-5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1.1710582479168932E-3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1.3934931894211298E-3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2.0565579842679038E-3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1.282810113490908E-3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6.962638746135009E-4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1.4212864953199947E-4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2.833653646290381E-6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8.0951443644661854E-4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2.2758635604800547E-3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1.6282761396436574E-2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6.7724368269525728E-2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3.4197175104180064E-2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6.1440525492545796E-4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5.3969100623111417E-5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0.33010183875249038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0.98774820819294173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3.742187009296702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7.2012127768384122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4.9611436546224912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1.053553349507288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2.959234083824252E-3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1.2779690601356794E-2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1.4742127181154797E-2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7.3893495175604715E-2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1.3618167572160524E-2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6.0379341253966497E-3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4.8920066654350688E-4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4.002025506109071E-5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5.1168804303040966E-5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3.2114619314043902E-6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4.1047702846054603E-6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4.4248255880807574E-6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4.2436214568532792E-6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7.3297593631762629E-5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1.0680348331405904E-4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1.1328764694558392E-4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8.5949484831813331E-6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7.0188641158566267E-6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7.0203799083168387E-6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7.6609528073399537E-6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6.3592273115321092E-4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1.5467169662970982E-3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1.4652549374745505E-3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1.5629961179835365E-5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8.1182665636516019E-6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7.3332468161367407E-6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8.8374009216105402E-6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2.9269589621811344E-5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3.756352503402169E-5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5.4790139592308994E-6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6.1978060800305417E-6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6.3792785856004877E-6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7.4535765651051732E-6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0.61925510261332994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0.62769402964339349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0.4828378793282373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0.24141994278144657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5.1842376068090723E-2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6.2994644506024072E-2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4.4449299097924895E-2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3.6015858304670037E-2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3.2747014784482121E-3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3.0770974966137186E-4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0.22209836754142978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0.40023424951921682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1.5264451623210131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1.31933516843232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0.60729388744635349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7.1930897358959453E-2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0.20256776084306646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3.0948468616201326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2.9242028020869628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2.3542725473161892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0.76312599463047426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1.0697059574152233E-4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0.10393449100591447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0.18008554391875009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0.17199814091300086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0.14503055671556919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2.5290960323171467E-2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1.0274899464047143E-4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18.302989124715864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15.117998341656659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12.801880100713873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4.1570331666954639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0.33870699931173576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0.37269060761526246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0.85053130941848865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0.71904060249177104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0.38164433330953768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5.0566330052464324E-2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2.3421459336170969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3.2080767855330983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3.8703127802854258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3.1210014151154066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0.41669036505291812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4.3303606372562468E-2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1.9636269114465459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2.9624187956848442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2.9512159182501323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2.3990799758285228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0.48828947400912792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4.7680768785331333E-2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1.7175299996635576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2.2768989094889736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4.1579315509016475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3.48734905671864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0.71572609267264897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8.6360414624836665E-2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2.3491844773154412E-4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6.0227352180637227E-4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8.9677911046046554E-4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4.3727724390106755E-4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1.4608019052021173E-4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1.6127979652154735E-4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5.9871657539488127E-4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8.8031018306538482E-4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3.8482713378382958E-4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1.2247422006419966E-4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1.8754993430727024E-4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6.5101532271951931E-4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8.6374068898749422E-4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3.6029809452485539E-4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1.0437276317049469E-4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2.1827653643989266E-4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8.0215277798886841E-4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1.1261343623950799E-3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4.7926639129128914E-4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1.5223230278757569E-4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1.3022151784539681E-5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0.3045806444938971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0.20285847590748093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0.16330417714384768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5.6553770607436125E-2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1.8100638666277967E-4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3.2272550794998226E-3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1.7913797196674113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2.8938902071278814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2.4156816630049192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1.2189138158019954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7.3780363349552375E-2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2.6075060528892531E-2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5.468857634473305E-2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5.2602449057227468E-2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4.1967970429943741E-2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9.3211556956768905E-3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8.2523372333060213E-5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4.7366905155050064E-2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0.11276355450378266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0.10796630589338041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9.0655012146792849E-2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1.9751016341783386E-2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8.6694231628383392E-5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17.673719176775272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17.235951049191065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12.910906909904703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6.2452569291673132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3.8196832167002436E-3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4.9763245184777588E-3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4.1029934811067943E-3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3.2842825166290216E-3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5.0997718557636569E-4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1.0598130806210499E-4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0.78774450964614706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0.90321984135370414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0.81734711556779593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0.63315701566794502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1.7353328580027007E-2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9.4046942754222142E-5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2.6459250867306534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2.8362033059056397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2.8067740541881228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2.1808884060051215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8.1774211027267521E-2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7.7201621793184427E-5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0.90114710925472108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1.0075479927533746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0.98922842181098269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0.77432910406483035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3.0258790128600312E-2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4.9358187278134024E-5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2.1596442426702336E-4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5.0052247883152563E-4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7.3189351474991853E-4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3.5734288118368339E-4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1.19008509098058E-4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1.5101687907948487E-4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5.0153808571948982E-4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7.4252799721738949E-4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3.2434374437921278E-4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1.0428953913535568E-4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1.6966430168888609E-4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5.2055077824263976E-4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6.9631859735695472E-4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2.9514050766661843E-4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8.7181139756846345E-5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1.2626718140152198E-4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3.332318271683937E-4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4.6009308407457094E-4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1.8656619070321111E-4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5.6426376881944278E-5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2.2085856632507346E-3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1.8248257340043956E-3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1.4248948389985372E-3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8.5133632309053979E-5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1.7635817395902615E-5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0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3.5313495235920339E-2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3.5041940021644499E-2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3.6432049345765681E-2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4.2260455613466495E-5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1.0553147714458868E-5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6.3303855233747677E-7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2.0146352454189537E-3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2.2581753626106462E-3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2.3020080262773209E-3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2.1069310511838098E-4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3.7927311990421106E-5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9.8626006563846809E-7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3.2949472152806879E-2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3.2193306285931138E-2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2.9955637124634726E-2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2.4550123412967593E-5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9.1969451692712367E-6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8.3815998724357966E-7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0.88951199431361327</v>
      </c>
      <c r="G1265" s="1">
        <f t="shared" si="1338"/>
        <v>0.95694536964701871</v>
      </c>
      <c r="H1265" s="1">
        <f t="shared" si="1338"/>
        <v>1.0580954326471248</v>
      </c>
      <c r="I1265" s="1">
        <f t="shared" si="1338"/>
        <v>1.2266788709806387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1.8116719735064506</v>
      </c>
      <c r="G1266" s="1">
        <f t="shared" si="1338"/>
        <v>1.8116719735064497</v>
      </c>
      <c r="H1266" s="1">
        <f t="shared" si="1338"/>
        <v>1.8116719735064493</v>
      </c>
      <c r="I1266" s="1">
        <f t="shared" si="1338"/>
        <v>1.8116719735064504</v>
      </c>
      <c r="J1266" s="1">
        <f t="shared" si="1338"/>
        <v>1.8651574172836427</v>
      </c>
      <c r="K1266" s="1">
        <f t="shared" si="1338"/>
        <v>1.9241556777697288</v>
      </c>
      <c r="L1266" s="1">
        <f t="shared" ref="L1266" si="1343">IFERROR(L1215/L1139,"-")</f>
        <v>2.1167798457919371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1.4637982671179683</v>
      </c>
      <c r="G1267" s="1">
        <f t="shared" si="1338"/>
        <v>1.4637982671179692</v>
      </c>
      <c r="H1267" s="1">
        <f t="shared" si="1338"/>
        <v>1.4637982671179695</v>
      </c>
      <c r="I1267" s="1">
        <f t="shared" si="1338"/>
        <v>1.4637982671179699</v>
      </c>
      <c r="J1267" s="1">
        <f t="shared" si="1338"/>
        <v>1.5197744494413459</v>
      </c>
      <c r="K1267" s="1">
        <f t="shared" si="1338"/>
        <v>1.5557424280519121</v>
      </c>
      <c r="L1267" s="1">
        <f t="shared" ref="L1267" si="1344">IFERROR(L1216/L1140,"-")</f>
        <v>1.7178761496006796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1.3374527251491974</v>
      </c>
      <c r="G1268" s="1">
        <f t="shared" si="1338"/>
        <v>1.3374527251491997</v>
      </c>
      <c r="H1268" s="1">
        <f t="shared" si="1338"/>
        <v>1.3374527251491992</v>
      </c>
      <c r="I1268" s="1">
        <f t="shared" si="1338"/>
        <v>1.3374527251492001</v>
      </c>
      <c r="J1268" s="1">
        <f t="shared" si="1338"/>
        <v>1.4061991710497601</v>
      </c>
      <c r="K1268" s="1">
        <f t="shared" si="1338"/>
        <v>1.4721284750821324</v>
      </c>
      <c r="L1268" s="1">
        <f t="shared" ref="L1268" si="1345">IFERROR(L1217/L1141,"-")</f>
        <v>1.6024744296843521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1.2949729235430802</v>
      </c>
      <c r="G1269" s="1">
        <f t="shared" si="1338"/>
        <v>1.29497292354308</v>
      </c>
      <c r="H1269" s="1">
        <f t="shared" si="1338"/>
        <v>1.2949729235430825</v>
      </c>
      <c r="I1269" s="1">
        <f t="shared" si="1338"/>
        <v>1.2949729235430785</v>
      </c>
      <c r="J1269" s="1">
        <f t="shared" si="1338"/>
        <v>1.3275954627950732</v>
      </c>
      <c r="K1269" s="1">
        <f t="shared" si="1338"/>
        <v>1.379720068747504</v>
      </c>
      <c r="L1269" s="1">
        <f t="shared" ref="L1269" si="1346">IFERROR(L1218/L1142,"-")</f>
        <v>1.5218653093468149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0.71169219736876554</v>
      </c>
      <c r="G1270" s="1">
        <f t="shared" si="1347"/>
        <v>0.76045759915277311</v>
      </c>
      <c r="H1270" s="1">
        <f t="shared" si="1347"/>
        <v>0.7719912166756423</v>
      </c>
      <c r="I1270" s="1">
        <f t="shared" si="1347"/>
        <v>0.81221331984641087</v>
      </c>
      <c r="J1270" s="1">
        <f t="shared" si="1347"/>
        <v>0.84580778388551048</v>
      </c>
      <c r="K1270" s="1">
        <f t="shared" si="1347"/>
        <v>0.93628955557543947</v>
      </c>
      <c r="L1270" s="1">
        <f t="shared" ref="L1270" si="1348">IFERROR(L1219/SUM(L1143,L1176),"-")</f>
        <v>1.1296715008425853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0.62717019839187682</v>
      </c>
      <c r="G1271" s="1">
        <f t="shared" si="1347"/>
        <v>0.63281104738169791</v>
      </c>
      <c r="H1271" s="1">
        <f t="shared" si="1347"/>
        <v>0.6441372045922531</v>
      </c>
      <c r="I1271" s="1">
        <f t="shared" si="1347"/>
        <v>0.68360945254304784</v>
      </c>
      <c r="J1271" s="1">
        <f t="shared" si="1347"/>
        <v>0.71861657639423127</v>
      </c>
      <c r="K1271" s="1">
        <f t="shared" si="1347"/>
        <v>0.70949732792176412</v>
      </c>
      <c r="L1271" s="1">
        <f t="shared" ref="L1271" si="1349">IFERROR(L1220/SUM(L1144,L1177),"-")</f>
        <v>0.99495448341457016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0.54553544461846004</v>
      </c>
      <c r="G1272" s="1">
        <f t="shared" si="1347"/>
        <v>0.60404151237800441</v>
      </c>
      <c r="H1272" s="1">
        <f t="shared" si="1347"/>
        <v>0.61793099124922646</v>
      </c>
      <c r="I1272" s="1">
        <f t="shared" si="1347"/>
        <v>0.66531832226203924</v>
      </c>
      <c r="J1272" s="1">
        <f t="shared" si="1347"/>
        <v>0.70819667484822413</v>
      </c>
      <c r="K1272" s="1">
        <f t="shared" si="1347"/>
        <v>0.8247696569967975</v>
      </c>
      <c r="L1272" s="1">
        <f t="shared" ref="L1272" si="1350">IFERROR(L1221/SUM(L1145,L1178),"-")</f>
        <v>1.0577398358762062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0.51975568473665834</v>
      </c>
      <c r="G1273" s="1">
        <f t="shared" si="1347"/>
        <v>0.57147693905086683</v>
      </c>
      <c r="H1273" s="1">
        <f t="shared" si="1347"/>
        <v>0.58369805276976561</v>
      </c>
      <c r="I1273" s="1">
        <f t="shared" si="1347"/>
        <v>0.62533047196786984</v>
      </c>
      <c r="J1273" s="1">
        <f t="shared" si="1347"/>
        <v>0.66172123031155339</v>
      </c>
      <c r="K1273" s="1">
        <f t="shared" si="1347"/>
        <v>0.75516112636142707</v>
      </c>
      <c r="L1273" s="1">
        <f t="shared" ref="L1273" si="1351">IFERROR(L1222/SUM(L1146,L1179),"-")</f>
        <v>0.92514616287707951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0.72840569582556891</v>
      </c>
      <c r="G1274" s="1">
        <f t="shared" si="1352"/>
        <v>0.77498037855810875</v>
      </c>
      <c r="H1274" s="1">
        <f t="shared" si="1352"/>
        <v>0.78665813591556155</v>
      </c>
      <c r="I1274" s="1">
        <f t="shared" si="1352"/>
        <v>0.82714045691154936</v>
      </c>
      <c r="J1274" s="1">
        <f t="shared" si="1352"/>
        <v>0.86106692374501337</v>
      </c>
      <c r="K1274" s="1">
        <f t="shared" si="1352"/>
        <v>0.95111189994001621</v>
      </c>
      <c r="L1274" s="1">
        <f t="shared" ref="L1274" si="1353">IFERROR(L1223/SUM(L1147,L1199),"-")</f>
        <v>1.1363252826728067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0.40803767525807377</v>
      </c>
      <c r="G1275" s="1">
        <f t="shared" si="1352"/>
        <v>0.64106311995814891</v>
      </c>
      <c r="H1275" s="1">
        <f t="shared" si="1352"/>
        <v>0.65263141950364856</v>
      </c>
      <c r="I1275" s="1">
        <f t="shared" si="1352"/>
        <v>0.69324684747586562</v>
      </c>
      <c r="J1275" s="1">
        <f t="shared" si="1352"/>
        <v>0.72905666917600054</v>
      </c>
      <c r="K1275" s="1">
        <f t="shared" si="1352"/>
        <v>0.68468895964736098</v>
      </c>
      <c r="L1275" s="1">
        <f t="shared" ref="L1275" si="1354">IFERROR(L1224/SUM(L1148,L1200),"-")</f>
        <v>1.0021156399391824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0.55063117043437204</v>
      </c>
      <c r="G1276" s="1">
        <f t="shared" si="1352"/>
        <v>0.61232923187651045</v>
      </c>
      <c r="H1276" s="1">
        <f t="shared" si="1352"/>
        <v>0.62626243445903051</v>
      </c>
      <c r="I1276" s="1">
        <f t="shared" si="1352"/>
        <v>0.67373997638800254</v>
      </c>
      <c r="J1276" s="1">
        <f t="shared" si="1352"/>
        <v>0.71677994303745363</v>
      </c>
      <c r="K1276" s="1">
        <f t="shared" si="1352"/>
        <v>0.73746596896784322</v>
      </c>
      <c r="L1276" s="1">
        <f t="shared" ref="L1276" si="1355">IFERROR(L1225/SUM(L1149,L1201),"-")</f>
        <v>1.0656008524709955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0.52693764315380709</v>
      </c>
      <c r="G1277" s="1">
        <f t="shared" si="1352"/>
        <v>0.57890319760521058</v>
      </c>
      <c r="H1277" s="1">
        <f t="shared" si="1352"/>
        <v>0.59088987624402201</v>
      </c>
      <c r="I1277" s="1">
        <f t="shared" si="1352"/>
        <v>0.63287976476487717</v>
      </c>
      <c r="J1277" s="1">
        <f t="shared" si="1352"/>
        <v>0.66879304185844723</v>
      </c>
      <c r="K1277" s="1">
        <f t="shared" si="1352"/>
        <v>0.72486923226479949</v>
      </c>
      <c r="L1277" s="1">
        <f t="shared" ref="L1277" si="1356">IFERROR(L1226/SUM(L1150,L1202),"-")</f>
        <v>0.92946690029079615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1.0965696656165185</v>
      </c>
      <c r="H1278" s="1">
        <f t="shared" si="1357"/>
        <v>1.0965696656165191</v>
      </c>
      <c r="I1278" s="1">
        <f t="shared" si="1357"/>
        <v>1.0965696656165203</v>
      </c>
      <c r="J1278" s="1">
        <f t="shared" si="1357"/>
        <v>1.1218761237265278</v>
      </c>
      <c r="K1278" s="1">
        <f t="shared" si="1357"/>
        <v>1.2106445972138267</v>
      </c>
      <c r="L1278" s="1">
        <f t="shared" ref="L1278" si="1358">IFERROR(L1227/L1153,"-")</f>
        <v>1.3435577464174173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0.89149519806162036</v>
      </c>
      <c r="G1279" s="1">
        <f t="shared" si="1359"/>
        <v>0.89149519806162025</v>
      </c>
      <c r="H1279" s="1">
        <f t="shared" si="1359"/>
        <v>0.89149519806162369</v>
      </c>
      <c r="I1279" s="1">
        <f t="shared" si="1359"/>
        <v>0.89149519806162048</v>
      </c>
      <c r="J1279" s="1">
        <f t="shared" si="1359"/>
        <v>0.91359964782523195</v>
      </c>
      <c r="K1279" s="1">
        <f t="shared" si="1359"/>
        <v>0.98489090862543771</v>
      </c>
      <c r="L1279" s="1">
        <f t="shared" ref="L1279" si="1360">IFERROR(L1228/L1154,"-")</f>
        <v>1.0995316544125233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0.8300050725649063</v>
      </c>
      <c r="G1280" s="1">
        <f t="shared" si="1361"/>
        <v>0.83000507256490719</v>
      </c>
      <c r="H1280" s="1">
        <f t="shared" si="1361"/>
        <v>0.83000507256490574</v>
      </c>
      <c r="I1280" s="1">
        <f t="shared" si="1361"/>
        <v>0.83000507256490463</v>
      </c>
      <c r="J1280" s="1">
        <f t="shared" si="1361"/>
        <v>0.85058357512413774</v>
      </c>
      <c r="K1280" s="1">
        <f t="shared" si="1361"/>
        <v>0.91810021233867278</v>
      </c>
      <c r="L1280" s="1">
        <f t="shared" ref="L1280" si="1362">IFERROR(L1229/L1155,"-")</f>
        <v>1.0281295621328446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0.83675282096654124</v>
      </c>
      <c r="H1281" s="1">
        <f t="shared" si="1363"/>
        <v>0.83675282096654169</v>
      </c>
      <c r="I1281" s="1">
        <f t="shared" si="1363"/>
        <v>0.83675282096654124</v>
      </c>
      <c r="J1281" s="1">
        <f t="shared" si="1363"/>
        <v>0.85692664909499383</v>
      </c>
      <c r="K1281" s="1">
        <f t="shared" si="1363"/>
        <v>0.92229987874102137</v>
      </c>
      <c r="L1281" s="1">
        <f t="shared" ref="L1281" si="1364">IFERROR(L1230/L1156,"-")</f>
        <v>1.0256117529205282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0.49379534694678323</v>
      </c>
      <c r="G1282" s="1">
        <f t="shared" si="1365"/>
        <v>0.50503220860251374</v>
      </c>
      <c r="H1282" s="1">
        <f t="shared" si="1365"/>
        <v>0.52188750108610982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1.1351920367718449</v>
      </c>
      <c r="G1283" s="1">
        <f t="shared" si="1365"/>
        <v>1.1615150859911099</v>
      </c>
      <c r="H1283" s="1">
        <f t="shared" si="1365"/>
        <v>1.1584641947250416</v>
      </c>
      <c r="I1283" s="1">
        <f t="shared" si="1365"/>
        <v>1.197122002013443</v>
      </c>
      <c r="J1283" s="1">
        <f t="shared" si="1365"/>
        <v>1.2496891279155589</v>
      </c>
      <c r="K1283" s="1">
        <f t="shared" si="1365"/>
        <v>0.91191018558913761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1.5961490259710365</v>
      </c>
      <c r="G1284" s="1">
        <f t="shared" si="1365"/>
        <v>1.9096784389423864</v>
      </c>
      <c r="H1284" s="1">
        <f t="shared" si="1365"/>
        <v>1.8882492611599306</v>
      </c>
      <c r="I1284" s="1">
        <f t="shared" si="1365"/>
        <v>1.8823881799874371</v>
      </c>
      <c r="J1284" s="1">
        <f t="shared" si="1365"/>
        <v>1.9024855651994033</v>
      </c>
      <c r="K1284" s="1">
        <f t="shared" si="1365"/>
        <v>1.8509365034064698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1.9705669680411977</v>
      </c>
      <c r="G1285" s="1">
        <f t="shared" si="1365"/>
        <v>2.4954055453200565</v>
      </c>
      <c r="H1285" s="1">
        <f t="shared" si="1365"/>
        <v>2.4926382637053894</v>
      </c>
      <c r="I1285" s="1">
        <f t="shared" si="1365"/>
        <v>2.5086391278115463</v>
      </c>
      <c r="J1285" s="1">
        <f t="shared" si="1365"/>
        <v>2.5475305749270802</v>
      </c>
      <c r="K1285" s="1">
        <f t="shared" si="1365"/>
        <v>0.86980727413025427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1.1454781241072594</v>
      </c>
      <c r="G1286" s="1">
        <f t="shared" si="1365"/>
        <v>1.3273590675383142</v>
      </c>
      <c r="H1286" s="1">
        <f t="shared" si="1365"/>
        <v>1.3423060951479053</v>
      </c>
      <c r="I1286" s="1">
        <f t="shared" si="1365"/>
        <v>1.3354951602061469</v>
      </c>
      <c r="J1286" s="1">
        <f t="shared" si="1365"/>
        <v>1.594376783560788</v>
      </c>
      <c r="K1286" s="1">
        <f t="shared" si="1365"/>
        <v>0.75351158715613176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0.28603940550919521</v>
      </c>
      <c r="G1287" s="1">
        <f t="shared" si="1365"/>
        <v>0.29254854993039708</v>
      </c>
      <c r="H1287" s="1">
        <f t="shared" si="1365"/>
        <v>0.30231226656220056</v>
      </c>
      <c r="I1287" s="1">
        <f t="shared" si="1365"/>
        <v>0.3185851276152063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0.68283689987925955</v>
      </c>
      <c r="G1288" s="1">
        <f t="shared" si="1365"/>
        <v>0.67603373701084857</v>
      </c>
      <c r="H1288" s="1">
        <f t="shared" si="1365"/>
        <v>0.62079070364184097</v>
      </c>
      <c r="I1288" s="1">
        <f t="shared" si="1365"/>
        <v>0.62038793546024296</v>
      </c>
      <c r="J1288" s="1">
        <f t="shared" si="1365"/>
        <v>0.59933665484927312</v>
      </c>
      <c r="K1288" s="1">
        <f t="shared" si="1365"/>
        <v>0.59891155780956662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0.60712709071271909</v>
      </c>
      <c r="G1289" s="1">
        <f t="shared" si="1365"/>
        <v>0.60445885448783421</v>
      </c>
      <c r="H1289" s="1">
        <f t="shared" si="1365"/>
        <v>0.59460452127145047</v>
      </c>
      <c r="I1289" s="1">
        <f t="shared" si="1365"/>
        <v>0.5974480532130626</v>
      </c>
      <c r="J1289" s="1">
        <f t="shared" si="1365"/>
        <v>0.56527857191849795</v>
      </c>
      <c r="K1289" s="1">
        <f t="shared" si="1365"/>
        <v>0.55325272768591438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0.51686654136871646</v>
      </c>
      <c r="G1290" s="1">
        <f t="shared" si="1365"/>
        <v>0.51602722388351063</v>
      </c>
      <c r="H1290" s="1">
        <f t="shared" si="1365"/>
        <v>0.51560371899754998</v>
      </c>
      <c r="I1290" s="1">
        <f t="shared" si="1365"/>
        <v>0.51978461912955332</v>
      </c>
      <c r="J1290" s="1">
        <f t="shared" si="1365"/>
        <v>0.49170109399856365</v>
      </c>
      <c r="K1290" s="1">
        <f t="shared" si="1365"/>
        <v>0.48216025125201017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0.44024407404515048</v>
      </c>
      <c r="G1291" s="1">
        <f t="shared" si="1365"/>
        <v>0.43329788422437249</v>
      </c>
      <c r="H1291" s="1">
        <f t="shared" si="1365"/>
        <v>0.43387771770155681</v>
      </c>
      <c r="I1291" s="1">
        <f t="shared" si="1365"/>
        <v>0.43712436417142542</v>
      </c>
      <c r="J1291" s="1">
        <f t="shared" si="1365"/>
        <v>0.43396738483035474</v>
      </c>
      <c r="K1291" s="1">
        <f t="shared" si="1365"/>
        <v>0.43445647431045487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0.51837627625535199</v>
      </c>
      <c r="H1292" s="1">
        <f t="shared" si="1365"/>
        <v>0.54204393399745265</v>
      </c>
      <c r="I1292" s="1">
        <f t="shared" si="1365"/>
        <v>0.56937790519453402</v>
      </c>
      <c r="J1292" s="1">
        <f t="shared" si="1365"/>
        <v>0.58016816515127101</v>
      </c>
      <c r="K1292" s="1">
        <f t="shared" si="1365"/>
        <v>0.59968464683110034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0.41733711223535036</v>
      </c>
      <c r="H1293" s="1">
        <f t="shared" si="1365"/>
        <v>0.43898978322881743</v>
      </c>
      <c r="I1293" s="1">
        <f t="shared" si="1365"/>
        <v>0.46047498773194256</v>
      </c>
      <c r="J1293" s="1">
        <f t="shared" si="1365"/>
        <v>0.46814140558443001</v>
      </c>
      <c r="K1293" s="1">
        <f t="shared" si="1365"/>
        <v>0.4848593549164566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0.38796990995538666</v>
      </c>
      <c r="H1294" s="1">
        <f t="shared" si="1365"/>
        <v>0.40759509505151792</v>
      </c>
      <c r="I1294" s="1">
        <f t="shared" si="1365"/>
        <v>0.42524066297882207</v>
      </c>
      <c r="J1294" s="1">
        <f t="shared" si="1365"/>
        <v>0.43258421218157173</v>
      </c>
      <c r="K1294" s="1">
        <f t="shared" si="1365"/>
        <v>0.44998708575944174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0.3933245874771138</v>
      </c>
      <c r="H1295" s="1">
        <f t="shared" si="1365"/>
        <v>0.41324663067787515</v>
      </c>
      <c r="I1295" s="1">
        <f t="shared" si="1365"/>
        <v>0.43174232325554956</v>
      </c>
      <c r="J1295" s="1">
        <f t="shared" si="1365"/>
        <v>0.43973665490398334</v>
      </c>
      <c r="K1295" s="1">
        <f t="shared" si="1365"/>
        <v>0.45542047479164843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0.41824117647058789</v>
      </c>
      <c r="G1297" s="1">
        <f t="shared" si="1380"/>
        <v>1.6975898781412448</v>
      </c>
      <c r="H1297" s="1">
        <f t="shared" si="1380"/>
        <v>1.6957209539888349</v>
      </c>
      <c r="I1297" s="1">
        <f t="shared" si="1380"/>
        <v>1.6919771883868726</v>
      </c>
      <c r="J1297" s="1">
        <f t="shared" si="1380"/>
        <v>1.6882847198463571</v>
      </c>
      <c r="K1297" s="1">
        <f t="shared" si="1380"/>
        <v>0.98470626185972998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1.1728582782407539</v>
      </c>
      <c r="G1298" s="1">
        <f t="shared" si="1380"/>
        <v>2.6813685029233607</v>
      </c>
      <c r="H1298" s="1">
        <f t="shared" si="1380"/>
        <v>2.3210874440886364</v>
      </c>
      <c r="I1298" s="1">
        <f t="shared" si="1380"/>
        <v>2.3038428919862604</v>
      </c>
      <c r="J1298" s="1">
        <f t="shared" si="1380"/>
        <v>2.1802912121883349</v>
      </c>
      <c r="K1298" s="1">
        <f t="shared" si="1380"/>
        <v>1.9480780259573787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0.90048907841220049</v>
      </c>
      <c r="G1299" s="1">
        <f t="shared" si="1380"/>
        <v>1.1933128457560682</v>
      </c>
      <c r="H1299" s="1">
        <f t="shared" si="1380"/>
        <v>1.1892067321102009</v>
      </c>
      <c r="I1299" s="1">
        <f t="shared" si="1380"/>
        <v>1.2590353233194236</v>
      </c>
      <c r="J1299" s="1">
        <f t="shared" si="1380"/>
        <v>1.4598383254581293</v>
      </c>
      <c r="K1299" s="1">
        <f t="shared" si="1380"/>
        <v>0.79611573667805635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1.3458064140513839</v>
      </c>
      <c r="G1300" s="1">
        <f t="shared" si="1380"/>
        <v>1.5784515024000747</v>
      </c>
      <c r="H1300" s="1">
        <f t="shared" si="1380"/>
        <v>1.5857648890321214</v>
      </c>
      <c r="I1300" s="1">
        <f t="shared" si="1380"/>
        <v>1.6173678860332534</v>
      </c>
      <c r="J1300" s="1">
        <f t="shared" si="1380"/>
        <v>1.5768854850944694</v>
      </c>
      <c r="K1300" s="1">
        <f t="shared" si="1380"/>
        <v>0.77862548296025913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0.33901850024086039</v>
      </c>
      <c r="G1301" s="1">
        <f t="shared" si="1380"/>
        <v>0.35391427166601075</v>
      </c>
      <c r="H1301" s="1">
        <f t="shared" si="1380"/>
        <v>0.37625792880373699</v>
      </c>
      <c r="I1301" s="1">
        <f t="shared" si="1380"/>
        <v>0.41349735736661514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0.75011786272136149</v>
      </c>
      <c r="G1302" s="1">
        <f t="shared" si="1380"/>
        <v>0.77992546021577935</v>
      </c>
      <c r="H1302" s="1">
        <f t="shared" si="1380"/>
        <v>0.78584783424947646</v>
      </c>
      <c r="I1302" s="1">
        <f t="shared" si="1380"/>
        <v>0.79049175805765537</v>
      </c>
      <c r="J1302" s="1">
        <f t="shared" si="1380"/>
        <v>0.77538858653876075</v>
      </c>
      <c r="K1302" s="1">
        <f t="shared" si="1380"/>
        <v>0.65792171400220778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0.72198389360437043</v>
      </c>
      <c r="G1303" s="1">
        <f t="shared" si="1380"/>
        <v>0.70376338520918924</v>
      </c>
      <c r="H1303" s="1">
        <f t="shared" si="1380"/>
        <v>0.73488536561474549</v>
      </c>
      <c r="I1303" s="1">
        <f t="shared" si="1380"/>
        <v>0.76266154565986188</v>
      </c>
      <c r="J1303" s="1">
        <f t="shared" si="1380"/>
        <v>0.82583637838583646</v>
      </c>
      <c r="K1303" s="1">
        <f t="shared" si="1380"/>
        <v>0.53510843822772369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0.52855449813601341</v>
      </c>
      <c r="G1304" s="1">
        <f t="shared" si="1380"/>
        <v>0.53242274595860217</v>
      </c>
      <c r="H1304" s="1">
        <f t="shared" si="1380"/>
        <v>0.53195811907425794</v>
      </c>
      <c r="I1304" s="1">
        <f t="shared" si="1380"/>
        <v>0.54121666745334729</v>
      </c>
      <c r="J1304" s="1">
        <f t="shared" si="1380"/>
        <v>0.59116010117386109</v>
      </c>
      <c r="K1304" s="1">
        <f t="shared" si="1380"/>
        <v>0.47667226010751074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0.46614199683165902</v>
      </c>
      <c r="G1305" s="1">
        <f t="shared" si="1380"/>
        <v>0.45574507410176646</v>
      </c>
      <c r="H1305" s="1">
        <f t="shared" si="1380"/>
        <v>0.45701560157572341</v>
      </c>
      <c r="I1305" s="1">
        <f t="shared" si="1380"/>
        <v>0.46327132073715721</v>
      </c>
      <c r="J1305" s="1">
        <f t="shared" si="1380"/>
        <v>0.39064234201197851</v>
      </c>
      <c r="K1305" s="1">
        <f t="shared" si="1380"/>
        <v>0.42473085734046107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0.56203544748554668</v>
      </c>
      <c r="H1306" s="1">
        <f t="shared" si="1380"/>
        <v>0.58215999554169651</v>
      </c>
      <c r="I1306" s="1">
        <f t="shared" si="1380"/>
        <v>0.60659339845572013</v>
      </c>
      <c r="J1306" s="1">
        <f t="shared" si="1380"/>
        <v>0.6168719896258027</v>
      </c>
      <c r="K1306" s="1">
        <f t="shared" si="1380"/>
        <v>0.63462576254887426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0.45210145766281434</v>
      </c>
      <c r="H1307" s="1">
        <f t="shared" si="1380"/>
        <v>0.4708461478738738</v>
      </c>
      <c r="I1307" s="1">
        <f t="shared" si="1380"/>
        <v>0.49045121286478671</v>
      </c>
      <c r="J1307" s="1">
        <f t="shared" si="1380"/>
        <v>0.49814491702798791</v>
      </c>
      <c r="K1307" s="1">
        <f t="shared" si="1380"/>
        <v>0.51339206202127896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0.42028149632876921</v>
      </c>
      <c r="H1308" s="1">
        <f t="shared" si="1380"/>
        <v>0.43713609968331651</v>
      </c>
      <c r="I1308" s="1">
        <f t="shared" si="1380"/>
        <v>0.45362983662276068</v>
      </c>
      <c r="J1308" s="1">
        <f t="shared" si="1380"/>
        <v>0.4610589623993383</v>
      </c>
      <c r="K1308" s="1">
        <f t="shared" si="1380"/>
        <v>0.47692094707903276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0.39943403925494803</v>
      </c>
      <c r="H1309" s="1">
        <f t="shared" si="1380"/>
        <v>0.41417961549375654</v>
      </c>
      <c r="I1309" s="1">
        <f t="shared" si="1380"/>
        <v>0.43062043870146399</v>
      </c>
      <c r="J1309" s="1">
        <f t="shared" si="1380"/>
        <v>0.43752983087299635</v>
      </c>
      <c r="K1309" s="1">
        <f t="shared" si="1380"/>
        <v>0.45253495348464912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>
        <f t="shared" ref="L1310" si="1396">IFERROR(L1259/L1199,"-")</f>
        <v>0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0.61529742822711597</v>
      </c>
      <c r="G1311" s="1">
        <f t="shared" si="1395"/>
        <v>1.5234350298470232</v>
      </c>
      <c r="H1311" s="1">
        <f t="shared" si="1395"/>
        <v>0.43626340606253966</v>
      </c>
      <c r="I1311" s="1">
        <f t="shared" si="1395"/>
        <v>4.0623120286148867E-3</v>
      </c>
      <c r="J1311" s="1">
        <f t="shared" si="1395"/>
        <v>2.1990960076581636E-4</v>
      </c>
      <c r="K1311" s="1">
        <f t="shared" si="1395"/>
        <v>0</v>
      </c>
      <c r="L1311" s="1">
        <f t="shared" ref="L1311" si="1397">IFERROR(L1260/L1200,"-")</f>
        <v>0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0.63140914055921327</v>
      </c>
      <c r="G1312" s="1">
        <f t="shared" si="1395"/>
        <v>6.9842712022050252E-2</v>
      </c>
      <c r="H1312" s="1">
        <f t="shared" si="1395"/>
        <v>2.5265528070287577E-2</v>
      </c>
      <c r="I1312" s="1">
        <f t="shared" si="1395"/>
        <v>8.8653218389273354E-6</v>
      </c>
      <c r="J1312" s="1">
        <f t="shared" si="1395"/>
        <v>1.2778620387335161E-6</v>
      </c>
      <c r="K1312" s="1">
        <f t="shared" si="1395"/>
        <v>1.1182608695868334E-7</v>
      </c>
      <c r="L1312" s="1">
        <f t="shared" ref="L1312" si="1398">IFERROR(L1261/L1201,"-")</f>
        <v>0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0.46784912316121247</v>
      </c>
      <c r="G1313" s="1">
        <f t="shared" si="1395"/>
        <v>0.10927503985603369</v>
      </c>
      <c r="H1313" s="1">
        <f t="shared" si="1395"/>
        <v>0.10014416289522821</v>
      </c>
      <c r="I1313" s="1">
        <f t="shared" si="1395"/>
        <v>2.0749701640634987E-3</v>
      </c>
      <c r="J1313" s="1">
        <f t="shared" si="1395"/>
        <v>2.2320781036212836E-3</v>
      </c>
      <c r="K1313" s="1">
        <f t="shared" si="1395"/>
        <v>1.474506100070355E-4</v>
      </c>
      <c r="L1313" s="1">
        <f t="shared" ref="L1313" si="1399">IFERROR(L1262/L1202,"-")</f>
        <v>0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0.68268776373836448</v>
      </c>
      <c r="G1314" s="1">
        <f t="shared" si="1395"/>
        <v>0.29197425935069676</v>
      </c>
      <c r="H1314" s="1">
        <f t="shared" si="1395"/>
        <v>0.27279562373014665</v>
      </c>
      <c r="I1314" s="1">
        <f t="shared" si="1395"/>
        <v>3.5265180674076919E-2</v>
      </c>
      <c r="J1314" s="1">
        <f t="shared" si="1395"/>
        <v>6.1949208016918382E-2</v>
      </c>
      <c r="K1314" s="1">
        <f t="shared" si="1395"/>
        <v>0.15057178273201902</v>
      </c>
      <c r="L1314" s="1" t="str">
        <f t="shared" ref="L1314" si="1400">IFERROR(L1263/L1203,"-")</f>
        <v>-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0.74855312757156467</v>
      </c>
      <c r="G1315" s="3">
        <f t="shared" ref="G1315:K1315" si="1403">G1316+G1322+G1327+G1341</f>
        <v>1.2351504347560114</v>
      </c>
      <c r="H1315" s="3">
        <f t="shared" si="1403"/>
        <v>2.238851290611982</v>
      </c>
      <c r="I1315" s="3">
        <f t="shared" si="1403"/>
        <v>1.1897446007896879</v>
      </c>
      <c r="J1315" s="3">
        <f t="shared" si="1403"/>
        <v>1.1931028156726897</v>
      </c>
      <c r="K1315" s="3">
        <f t="shared" si="1403"/>
        <v>1.1758503460015841</v>
      </c>
      <c r="L1315" s="3">
        <f t="shared" ref="L1315" si="1404">L1316+L1322+L1327+L1341</f>
        <v>1.1499087347415313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9.8949661572901824E-3</v>
      </c>
      <c r="G1316" s="1">
        <f t="shared" ref="G1316:K1316" si="1405">SUM(G1317:G1321)</f>
        <v>5.2247654996527275E-2</v>
      </c>
      <c r="H1316" s="1">
        <f t="shared" si="1405"/>
        <v>5.91002580499293E-2</v>
      </c>
      <c r="I1316" s="1">
        <f t="shared" si="1405"/>
        <v>1.1897015656974932</v>
      </c>
      <c r="J1316" s="1">
        <f t="shared" si="1405"/>
        <v>1.1930934264483144</v>
      </c>
      <c r="K1316" s="1">
        <f t="shared" si="1405"/>
        <v>1.1758503460015841</v>
      </c>
      <c r="L1316" s="1">
        <f t="shared" ref="L1316" si="1406">SUM(L1317:L1321)</f>
        <v>1.1499087347415313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4.7405428965564166E-4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4.7541377605954209E-4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4.6654285064018272E-4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3.4850595723558055E-7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3.3964180325392078E-2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3.57389518411005E-2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0.23675466235406481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0.24312082834183865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0.25248728089408173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0.24137360473893771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1.427981726200913E-3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3.1090572722329958E-3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5.1471097568466717E-3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0.12251672640104487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0.12189063232401885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0.1255673202361694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0.12079834147765436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7.7703062364947286E-3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1.4297122895682421E-2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1.7172531422440868E-2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0.80291645575451465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0.82708033771094092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0.79771934242446219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0.78768553468200608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2.222753989816621E-4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4.0188072716023683E-4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5.7512217890106959E-4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2.7513721187868812E-2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1.0016280715159016E-3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7.6402446870724714E-5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5.125384293322503E-5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3.9755071324195189E-7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3.9755071324195189E-7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0.73834243576972225</v>
      </c>
      <c r="G1327" s="1">
        <f t="shared" ref="G1327:K1327" si="1411">SUM(G1332:G1340)</f>
        <v>1.1814065021744526</v>
      </c>
      <c r="H1327" s="1">
        <f t="shared" si="1411"/>
        <v>2.1501782686417217</v>
      </c>
      <c r="I1327" s="1">
        <f t="shared" si="1411"/>
        <v>4.2637541481464103E-5</v>
      </c>
      <c r="J1327" s="1">
        <f t="shared" si="1411"/>
        <v>6.9382180566777561E-6</v>
      </c>
      <c r="K1327" s="1">
        <f t="shared" si="1411"/>
        <v>0</v>
      </c>
      <c r="L1327" s="1">
        <f t="shared" ref="L1327" si="1412">SUM(L1332:L1340)</f>
        <v>0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0.71993967968023409</v>
      </c>
      <c r="G1328" s="1">
        <f t="shared" ref="G1328:L1328" si="1413">IF(G1327-G1329&lt;0,0,G1327-G1329)</f>
        <v>1.1506139601969143</v>
      </c>
      <c r="H1328" s="1">
        <f t="shared" si="1413"/>
        <v>2.0536934695349824</v>
      </c>
      <c r="I1328" s="1">
        <f t="shared" si="1413"/>
        <v>4.0726904136938226E-5</v>
      </c>
      <c r="J1328" s="1">
        <f t="shared" si="1413"/>
        <v>6.4164486724572907E-6</v>
      </c>
      <c r="K1328" s="1">
        <f t="shared" si="1413"/>
        <v>0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1.8402756089488152E-2</v>
      </c>
      <c r="G1329" s="1">
        <f t="shared" ref="G1329" si="1414">SUM(G1330:G1331)</f>
        <v>3.0792541977538317E-2</v>
      </c>
      <c r="H1329" s="1">
        <f t="shared" ref="H1329" si="1415">SUM(H1330:H1331)</f>
        <v>9.6484799106739405E-2</v>
      </c>
      <c r="I1329" s="1">
        <f t="shared" ref="I1329" si="1416">SUM(I1330:I1331)</f>
        <v>1.9106373445258757E-6</v>
      </c>
      <c r="J1329" s="1">
        <f t="shared" ref="J1329" si="1417">SUM(J1330:J1331)</f>
        <v>5.2176938422046566E-7</v>
      </c>
      <c r="K1329" s="1">
        <f t="shared" ref="K1329:L1329" si="1418">SUM(K1330:K1331)</f>
        <v>0</v>
      </c>
      <c r="L1329" s="1">
        <f t="shared" si="1418"/>
        <v>0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1.8402756089488152E-2</v>
      </c>
      <c r="G1330" s="1">
        <f>[1]Transport!C$26/SUM([1]Transport!C$22,[1]Transport!C$26)*G1327*(G$34+G$582)/(G$34+G$582+G$38)</f>
        <v>3.0792541977538317E-2</v>
      </c>
      <c r="H1330" s="1">
        <f>[1]Transport!D$26/SUM([1]Transport!D$22,[1]Transport!D$26)*H1327*(H$34+H$582)/(H$34+H$582+H$38)</f>
        <v>9.6484799106739405E-2</v>
      </c>
      <c r="I1330" s="1">
        <f>[1]Transport!E$26/SUM([1]Transport!E$22,[1]Transport!E$26)*I1327*(I$34+I$582)/(I$34+I$582+I$38)</f>
        <v>1.9106373445258757E-6</v>
      </c>
      <c r="J1330" s="1">
        <f>[2]Transport!F$26/SUM([2]Transport!F$22,[2]Transport!F$26)*J1327*(J$34+J$582)/(J$34+J$582+J$38)</f>
        <v>5.2176938422046566E-7</v>
      </c>
      <c r="K1330" s="1">
        <f>[2]Transport!G$26/SUM([2]Transport!G$22,[2]Transport!G$26)*K1327*(K$34+K$582)/(K$34+K$582+K$38)</f>
        <v>0</v>
      </c>
      <c r="L1330" s="1">
        <f>[2]Transport!H$26/SUM([2]Transport!H$22,[2]Transport!H$26)*L1327*(L$34+L$582)/(L$34+L$582+L$38)</f>
        <v>0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0.12291641836762104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0.12364026117378057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4.5431711733652199E-7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8.0938043910229799E-4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1.2224431439152067E-3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3.1374203400803169E-7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1.2815644791654497E-3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1.7028765135285917E-3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0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2.9972471444485996E-5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6.2146380620016026E-5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1.7338421722118739E-2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1.7317827560620145E-2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1.7249307611466293E-2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2.6253582557070251E-4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1.0610595047045236E-2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0.21105302526534261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4.2637541481464103E-5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5.5814253233935572E-7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0.10965585900420016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0.13183222599486971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0.23075667330127136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5.6120163729938469E-6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0.60674471704515442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0.89622992686151259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1.564016855574736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4.3409021726782317E-3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3.7859095307181406E-4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4.7467967706099677E-4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3.1572564455231906E-4</v>
      </c>
      <c r="G1341" s="1">
        <f t="shared" ref="G1341:K1341" si="1419">SUM(G1346:G1350)</f>
        <v>1.4962775850315059E-3</v>
      </c>
      <c r="H1341" s="1">
        <f t="shared" si="1419"/>
        <v>2.9572763920331088E-2</v>
      </c>
      <c r="I1341" s="1">
        <f t="shared" si="1419"/>
        <v>0</v>
      </c>
      <c r="J1341" s="1">
        <f t="shared" si="1419"/>
        <v>2.451006318600735E-6</v>
      </c>
      <c r="K1341" s="1">
        <f t="shared" si="1419"/>
        <v>0</v>
      </c>
      <c r="L1341" s="1">
        <f t="shared" ref="L1341" si="1420">SUM(L1346:L1350)</f>
        <v>0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2.9189795687019587E-4</v>
      </c>
      <c r="G1342" s="1">
        <f t="shared" ref="G1342:L1342" si="1421">IF(G1341-G1343&lt;0,0,G1341-G1343)</f>
        <v>1.3530483891869872E-3</v>
      </c>
      <c r="H1342" s="1">
        <f t="shared" si="1421"/>
        <v>2.9273180960851568E-2</v>
      </c>
      <c r="I1342" s="1">
        <f t="shared" si="1421"/>
        <v>0</v>
      </c>
      <c r="J1342" s="1">
        <f t="shared" si="1421"/>
        <v>0</v>
      </c>
      <c r="K1342" s="1">
        <f t="shared" si="1421"/>
        <v>0</v>
      </c>
      <c r="L1342" s="1">
        <f t="shared" si="1421"/>
        <v>0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2.3827687682123164E-5</v>
      </c>
      <c r="G1343" s="1">
        <f t="shared" ref="G1343" si="1422">SUM(G1344:G1345)</f>
        <v>1.4322919584451867E-4</v>
      </c>
      <c r="H1343" s="1">
        <f t="shared" ref="H1343" si="1423">SUM(H1344:H1345)</f>
        <v>2.9958295947952145E-4</v>
      </c>
      <c r="I1343" s="1">
        <f t="shared" ref="I1343" si="1424">SUM(I1344:I1345)</f>
        <v>0</v>
      </c>
      <c r="J1343" s="1">
        <f t="shared" ref="J1343" si="1425">SUM(J1344:J1345)</f>
        <v>7.5573751344907517E-4</v>
      </c>
      <c r="K1343" s="1">
        <f t="shared" ref="K1343:L1343" si="1426">SUM(K1344:K1345)</f>
        <v>0</v>
      </c>
      <c r="L1343" s="1">
        <f t="shared" si="1426"/>
        <v>0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2.3827687682123164E-5</v>
      </c>
      <c r="G1344" s="1">
        <f>[1]Transport!C$27/SUM([1]Transport!C$24,[1]Transport!C$27)*G1341*(G$47+G$614)/(G$47+G$614+G$49)</f>
        <v>1.4322919584451867E-4</v>
      </c>
      <c r="H1344" s="1">
        <f>[1]Transport!D$27/SUM([1]Transport!D$24,[1]Transport!D$27)*H1341*(H$47+H$614)/(H$47+H$614+H$49)</f>
        <v>2.9958295947952145E-4</v>
      </c>
      <c r="I1344" s="1">
        <f>[1]Transport!E$27/SUM([1]Transport!E$24,[1]Transport!E$27)*I1341*(I$47+I$614)/(I$47+I$614+I$49)</f>
        <v>0</v>
      </c>
      <c r="J1344" s="1">
        <f>[2]Transport!F$27/SUM([2]Transport!F$24,[2]Transport!F$27)*J1341*(J$47+J$614)/(J$47+J$614+J$49)</f>
        <v>2.1684785894062195E-8</v>
      </c>
      <c r="K1344" s="1">
        <f>[2]Transport!G$27/SUM([2]Transport!G$24,[2]Transport!G$27)*K1341*(K$47+K$614)/(K$47+K$614+K$49)</f>
        <v>0</v>
      </c>
      <c r="L1344" s="1">
        <f>[2]Transport!H$27/SUM([2]Transport!H$24,[2]Transport!H$27)*L1341*(L$47+L$614)/(L$47+L$614+L$49)</f>
        <v>0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7.5571582866318116E-4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3.1572564455231906E-4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3.1693194822729205E-4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3.160128839924687E-4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4.6534482892780169E-4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9.2871482904993718E-4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9.834346890671762E-7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0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3.3087657503832216E-4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1.140613245624309E-3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1.4675716295335588E-6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3.619283678575519E-4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2.7109612253580963E-2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2.1195864980538336E-5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7.781070808340898E-5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0.29538566401364141</v>
      </c>
      <c r="G1351" s="3">
        <f t="shared" ref="G1351:K1351" si="1427">SUM(G1352:G1374)</f>
        <v>0.30115612280855802</v>
      </c>
      <c r="H1351" s="3">
        <f t="shared" si="1427"/>
        <v>0.3090821312877528</v>
      </c>
      <c r="I1351" s="3">
        <f t="shared" si="1427"/>
        <v>0.32279375132205251</v>
      </c>
      <c r="J1351" s="3">
        <f t="shared" si="1427"/>
        <v>0.33688178575701511</v>
      </c>
      <c r="K1351" s="3">
        <f t="shared" si="1427"/>
        <v>0.35121509400956163</v>
      </c>
      <c r="L1351" s="3">
        <f t="shared" ref="L1351" si="1428">SUM(L1352:L1374)</f>
        <v>0.37570248746191365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1.9865739041166324E-3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1.6039275753089177E-3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1.0023535562568027E-3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1.3197684209572971E-7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1.332836924163008E-2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1.4061860845834731E-2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0.1058926219596722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0.11451546391229674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0.11952861267147759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0.12786601172127657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3.929530180929717E-4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8.6854129548851096E-4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1.4797116081732037E-3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3.9649966890555513E-2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4.1378062659660007E-2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4.3140480071896858E-2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4.6147711352847016E-2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1.4217360956503993E-3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2.6321541967025881E-3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3.2058372803314521E-3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0.17328044861703984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0.1808413752686224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0.18853402560048249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0.20167995109276046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2.7114732758586255E-5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4.9826498503478609E-5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7.3268174388071451E-5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3.9653370595533885E-3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1.4576595265413999E-4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1.197566570471468E-5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8.813295029631007E-6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9.3186587566672503E-8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1.9975601901423185E-2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2.0099290614322585E-2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8.8367492830550796E-8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0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9.4287911742980241E-5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1.4477499868115472E-4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4.37352475729199E-8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1.0026425837381608E-4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1.3485287615986561E-4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1.5810910239751136E-6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3.3518136856794761E-6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0.24219487713633439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0.19377950337865457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0.12110687611528755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3.2533220939964588E-5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1.3623398345576981E-3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2.8503706357835785E-2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5.2836086440317529E-6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8.6422336074552497E-8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9.5911426505312387E-3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1.1567095084173567E-2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2.0971092934960366E-2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6.0704596698105702E-7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3.5160569961098641E-2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5.2127088587264517E-2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9.4234778467688102E-2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1.6776059502330982E-4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1.4730086980695381E-5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1.8628699308444833E-5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4.4102707222531861E-3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3.5455164613485989E-3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2.2166626159768228E-3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5.5951908058055947E-5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1.1401502642678173E-4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1.4291716505976082E-7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0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2.8123872349022704E-5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1.0020929954362488E-4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1.4947557332030119E-7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2.0420770674666534E-5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1.6078337371421786E-3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7.9885429910765822E-7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3.0262657495837229E-6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434">IFERROR(G1352/G1317,"-")</f>
        <v>3.3737507326839378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0.37869321701871783</v>
      </c>
      <c r="G1377" s="1">
        <f t="shared" si="1436"/>
        <v>0.39242428682035974</v>
      </c>
      <c r="H1377" s="1">
        <f t="shared" si="1436"/>
        <v>0.39346035967577858</v>
      </c>
      <c r="I1377" s="1">
        <f t="shared" si="1436"/>
        <v>0.44726731421791632</v>
      </c>
      <c r="J1377" s="1">
        <f t="shared" si="1436"/>
        <v>0.4710228436342892</v>
      </c>
      <c r="K1377" s="1">
        <f t="shared" si="1436"/>
        <v>0.47340449090431519</v>
      </c>
      <c r="L1377" s="1">
        <f t="shared" ref="L1377" si="1437">IFERROR(L1353/L1318,"-")</f>
        <v>0.52974314179701842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0.27518070496490676</v>
      </c>
      <c r="G1378" s="1">
        <f t="shared" si="1438"/>
        <v>0.27935840978082233</v>
      </c>
      <c r="H1378" s="1">
        <f t="shared" si="1438"/>
        <v>0.28748398189972446</v>
      </c>
      <c r="I1378" s="1">
        <f t="shared" si="1438"/>
        <v>0.32362901013830353</v>
      </c>
      <c r="J1378" s="1">
        <f t="shared" si="1438"/>
        <v>0.33946876696533762</v>
      </c>
      <c r="K1378" s="1">
        <f t="shared" si="1438"/>
        <v>0.34356455159477345</v>
      </c>
      <c r="L1378" s="1">
        <f t="shared" ref="L1378" si="1439">IFERROR(L1354/L1319,"-")</f>
        <v>0.38202272306349139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0.18297040713439891</v>
      </c>
      <c r="G1379" s="1">
        <f t="shared" si="1440"/>
        <v>0.18410376800338413</v>
      </c>
      <c r="H1379" s="1">
        <f t="shared" si="1440"/>
        <v>0.18668402470599649</v>
      </c>
      <c r="I1379" s="1">
        <f t="shared" si="1440"/>
        <v>0.21581379653528857</v>
      </c>
      <c r="J1379" s="1">
        <f t="shared" si="1440"/>
        <v>0.21865031366738313</v>
      </c>
      <c r="K1379" s="1">
        <f t="shared" si="1440"/>
        <v>0.23634129896798284</v>
      </c>
      <c r="L1379" s="1">
        <f t="shared" ref="L1379" si="1441">IFERROR(L1355/L1320,"-")</f>
        <v>0.25604120199335639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0.12198710645807115</v>
      </c>
      <c r="G1380" s="1">
        <f t="shared" si="1442"/>
        <v>0.12398329936238002</v>
      </c>
      <c r="H1380" s="1">
        <f t="shared" si="1442"/>
        <v>0.12739584226793446</v>
      </c>
      <c r="I1380" s="1">
        <f t="shared" si="1442"/>
        <v>0.14412216480923568</v>
      </c>
      <c r="J1380" s="1">
        <f t="shared" si="1442"/>
        <v>0.14552902100031234</v>
      </c>
      <c r="K1380" s="1">
        <f t="shared" si="1442"/>
        <v>0.15674453103547684</v>
      </c>
      <c r="L1380" s="1">
        <f t="shared" ref="L1380" si="1443">IFERROR(L1356/L1321,"-")</f>
        <v>0.17195383848803728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>
        <f t="shared" si="1444"/>
        <v>0.23440176174444077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0.16251369968883839</v>
      </c>
      <c r="H1385" s="1">
        <f t="shared" si="1452"/>
        <v>0.16256266707551151</v>
      </c>
      <c r="I1385" s="1" t="str">
        <f t="shared" si="1452"/>
        <v>-</v>
      </c>
      <c r="J1385" s="1">
        <f t="shared" si="1452"/>
        <v>0.19450619282983164</v>
      </c>
      <c r="K1385" s="1" t="str">
        <f t="shared" si="1452"/>
        <v>-</v>
      </c>
      <c r="L1385" s="1" t="str">
        <f t="shared" ref="L1385" si="1453">IFERROR(L1361/L1332,"-")</f>
        <v>-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0.11649393435744146</v>
      </c>
      <c r="H1386" s="1">
        <f t="shared" si="1454"/>
        <v>0.11843086478236804</v>
      </c>
      <c r="I1386" s="1" t="str">
        <f t="shared" si="1454"/>
        <v>-</v>
      </c>
      <c r="J1386" s="1">
        <f t="shared" si="1454"/>
        <v>0.13939875066851989</v>
      </c>
      <c r="K1386" s="1" t="str">
        <f t="shared" si="1454"/>
        <v>-</v>
      </c>
      <c r="L1386" s="1" t="str">
        <f t="shared" ref="L1386" si="1455">IFERROR(L1362/L1333,"-")</f>
        <v>-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7.8235828164578816E-2</v>
      </c>
      <c r="H1387" s="1">
        <f t="shared" si="1456"/>
        <v>7.9191224430262483E-2</v>
      </c>
      <c r="I1387" s="1" t="str">
        <f t="shared" si="1456"/>
        <v>-</v>
      </c>
      <c r="J1387" s="1" t="str">
        <f t="shared" si="1456"/>
        <v>-</v>
      </c>
      <c r="K1387" s="1" t="str">
        <f t="shared" si="1456"/>
        <v>-</v>
      </c>
      <c r="L1387" s="1" t="str">
        <f t="shared" ref="L1387" si="1457">IFERROR(L1363/L1334,"-")</f>
        <v>-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5.2751439830497703E-2</v>
      </c>
      <c r="H1388" s="1">
        <f t="shared" si="1458"/>
        <v>5.3934173675754309E-2</v>
      </c>
      <c r="I1388" s="1" t="str">
        <f t="shared" si="1458"/>
        <v>-</v>
      </c>
      <c r="J1388" s="1" t="str">
        <f t="shared" si="1458"/>
        <v>-</v>
      </c>
      <c r="K1388" s="1" t="str">
        <f t="shared" si="1458"/>
        <v>-</v>
      </c>
      <c r="L1388" s="1" t="str">
        <f t="shared" ref="L1388" si="1459">IFERROR(L1364/L1335,"-")</f>
        <v>-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60">IFERROR(G1365/G1336,"-")</f>
        <v>11.189596541502658</v>
      </c>
      <c r="H1389" s="1">
        <f t="shared" si="1460"/>
        <v>7.020970281426429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0.12839429160356777</v>
      </c>
      <c r="H1390" s="1">
        <f t="shared" si="1462"/>
        <v>0.13505471585635892</v>
      </c>
      <c r="I1390" s="1">
        <f t="shared" si="1462"/>
        <v>0.12391916748597491</v>
      </c>
      <c r="J1390" s="1">
        <f t="shared" si="1462"/>
        <v>0.15483918724546678</v>
      </c>
      <c r="K1390" s="1" t="str">
        <f t="shared" si="1462"/>
        <v>-</v>
      </c>
      <c r="L1390" s="1" t="str">
        <f t="shared" ref="L1390" si="1463">IFERROR(L1366/L1337,"-")</f>
        <v>-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8.7465847585616638E-2</v>
      </c>
      <c r="G1391" s="1">
        <f t="shared" si="1464"/>
        <v>8.7741028393343704E-2</v>
      </c>
      <c r="H1391" s="1">
        <f t="shared" si="1464"/>
        <v>9.0879681332469722E-2</v>
      </c>
      <c r="I1391" s="1" t="str">
        <f t="shared" si="1464"/>
        <v>-</v>
      </c>
      <c r="J1391" s="1">
        <f t="shared" si="1464"/>
        <v>0.10816895864778379</v>
      </c>
      <c r="K1391" s="1" t="str">
        <f t="shared" si="1464"/>
        <v>-</v>
      </c>
      <c r="L1391" s="1" t="str">
        <f t="shared" ref="L1391" si="1465">IFERROR(L1367/L1338,"-")</f>
        <v>-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5.7949527986548524E-2</v>
      </c>
      <c r="G1392" s="1">
        <f t="shared" si="1466"/>
        <v>5.816262883544538E-2</v>
      </c>
      <c r="H1392" s="1">
        <f t="shared" si="1466"/>
        <v>6.0251766553410475E-2</v>
      </c>
      <c r="I1392" s="1" t="str">
        <f t="shared" si="1466"/>
        <v>-</v>
      </c>
      <c r="J1392" s="1" t="str">
        <f t="shared" si="1466"/>
        <v>-</v>
      </c>
      <c r="K1392" s="1" t="str">
        <f t="shared" si="1466"/>
        <v>-</v>
      </c>
      <c r="L1392" s="1" t="str">
        <f t="shared" ref="L1392" si="1467">IFERROR(L1368/L1339,"-")</f>
        <v>-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3.8646481387947428E-2</v>
      </c>
      <c r="G1393" s="1">
        <f t="shared" si="1468"/>
        <v>3.8907657093172177E-2</v>
      </c>
      <c r="H1393" s="1">
        <f t="shared" si="1468"/>
        <v>3.9244779603342966E-2</v>
      </c>
      <c r="I1393" s="1" t="str">
        <f t="shared" si="1468"/>
        <v>-</v>
      </c>
      <c r="J1393" s="1" t="str">
        <f t="shared" si="1468"/>
        <v>-</v>
      </c>
      <c r="K1393" s="1" t="str">
        <f t="shared" si="1468"/>
        <v>-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470">IFERROR(G1370/G1346,"-")</f>
        <v>11.186996076539067</v>
      </c>
      <c r="H1394" s="1">
        <f t="shared" si="1470"/>
        <v>7.0144691190174733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0.12023751974847215</v>
      </c>
      <c r="H1395" s="1">
        <f t="shared" si="1472"/>
        <v>0.12276645409379064</v>
      </c>
      <c r="I1395" s="1" t="str">
        <f t="shared" si="1472"/>
        <v>-</v>
      </c>
      <c r="J1395" s="1">
        <f t="shared" si="1472"/>
        <v>0.14532451076677291</v>
      </c>
      <c r="K1395" s="1" t="str">
        <f t="shared" si="1472"/>
        <v>-</v>
      </c>
      <c r="L1395" s="1" t="str">
        <f t="shared" ref="L1395" si="1473">IFERROR(L1371/L1347,"-")</f>
        <v>-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8.4998076233608846E-2</v>
      </c>
      <c r="H1396" s="1">
        <f t="shared" si="1474"/>
        <v>8.7855633737424998E-2</v>
      </c>
      <c r="I1396" s="1" t="str">
        <f t="shared" si="1474"/>
        <v>-</v>
      </c>
      <c r="J1396" s="1">
        <f t="shared" si="1474"/>
        <v>0.10185231869589173</v>
      </c>
      <c r="K1396" s="1" t="str">
        <f t="shared" si="1474"/>
        <v>-</v>
      </c>
      <c r="L1396" s="1" t="str">
        <f t="shared" ref="L1396" si="1475">IFERROR(L1372/L1348,"-")</f>
        <v>-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5.6422133461237166E-2</v>
      </c>
      <c r="H1397" s="1">
        <f t="shared" si="1476"/>
        <v>5.9308621683801348E-2</v>
      </c>
      <c r="I1397" s="1" t="str">
        <f t="shared" si="1476"/>
        <v>-</v>
      </c>
      <c r="J1397" s="1" t="str">
        <f t="shared" si="1476"/>
        <v>-</v>
      </c>
      <c r="K1397" s="1" t="str">
        <f t="shared" si="1476"/>
        <v>-</v>
      </c>
      <c r="L1397" s="1" t="str">
        <f t="shared" ref="L1397" si="1477">IFERROR(L1373/L1349,"-")</f>
        <v>-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3.7689157759834377E-2</v>
      </c>
      <c r="H1398" s="1">
        <f t="shared" si="1478"/>
        <v>3.8892664314784609E-2</v>
      </c>
      <c r="I1398" s="1" t="str">
        <f t="shared" si="1478"/>
        <v>-</v>
      </c>
      <c r="J1398" s="1" t="str">
        <f t="shared" si="1478"/>
        <v>-</v>
      </c>
      <c r="K1398" s="1" t="str">
        <f t="shared" si="1478"/>
        <v>-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0.80924935428433409</v>
      </c>
      <c r="G1399" s="3">
        <f t="shared" ref="G1399" si="1480">G1400+G1406+G1411+G1425</f>
        <v>0.82866899958268303</v>
      </c>
      <c r="H1399" s="3">
        <f t="shared" ref="H1399" si="1481">H1400+H1406+H1411+H1425</f>
        <v>1.0202559439373862</v>
      </c>
      <c r="I1399" s="3">
        <f t="shared" ref="I1399" si="1482">I1400+I1406+I1411+I1425</f>
        <v>0.37862700407373517</v>
      </c>
      <c r="J1399" s="3">
        <f t="shared" ref="J1399" si="1483">J1400+J1406+J1411+J1425</f>
        <v>0.36529562263712428</v>
      </c>
      <c r="K1399" s="3">
        <f t="shared" ref="K1399:L1399" si="1484">K1400+K1406+K1411+K1425</f>
        <v>0.35588017609477124</v>
      </c>
      <c r="L1399" s="3">
        <f t="shared" si="1484"/>
        <v>0.31329153325851244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2.4884690218169581E-3</v>
      </c>
      <c r="G1400" s="1">
        <f t="shared" ref="G1400" si="1485">SUM(G1401:G1405)</f>
        <v>1.0020459960967829E-2</v>
      </c>
      <c r="H1400" s="1">
        <f t="shared" ref="H1400" si="1486">SUM(H1401:H1405)</f>
        <v>1.1382598793153039E-2</v>
      </c>
      <c r="I1400" s="1">
        <f t="shared" ref="I1400" si="1487">SUM(I1401:I1405)</f>
        <v>0.37862528604404544</v>
      </c>
      <c r="J1400" s="1">
        <f t="shared" ref="J1400" si="1488">SUM(J1401:J1405)</f>
        <v>0.36528878971912759</v>
      </c>
      <c r="K1400" s="1">
        <f t="shared" ref="K1400:L1400" si="1489">SUM(K1401:K1405)</f>
        <v>0.35583515550432476</v>
      </c>
      <c r="L1400" s="1">
        <f t="shared" si="1489"/>
        <v>0.313280345446242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3.8781184313461367E-4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5.5489145330856887E-3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6.377636588285115E-3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0.14469202970535699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0.13767776278429208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0.13761661378849754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0.11880783873411747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1.7070028202768696E-3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3.7243708025382952E-3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4.0501084247199677E-3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0.17701589784825256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0.17142368911865288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0.16590187086367167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0.14760993157558752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3.9365435840547501E-4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6.6019933576705314E-4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8.1429161782637478E-4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5.6871068964377519E-2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5.6141443153603893E-2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5.2190679372534729E-2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4.6824905191744183E-2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8.697528957679066E-5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1.4056216232158269E-4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4.6289526058331685E-5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4.5894662578752767E-5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1.2599147962076316E-4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3.7669944792801883E-5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0.80662375455243929</v>
      </c>
      <c r="G1411" s="1">
        <f t="shared" ref="G1411:K1411" si="1497">SUM(G1416:G1424)</f>
        <v>0.81760793224851358</v>
      </c>
      <c r="H1411" s="1">
        <f t="shared" si="1497"/>
        <v>1.0067307692866114</v>
      </c>
      <c r="I1411" s="1">
        <f t="shared" si="1497"/>
        <v>1.7180296897570299E-6</v>
      </c>
      <c r="J1411" s="1">
        <f t="shared" si="1497"/>
        <v>5.9172988498424433E-6</v>
      </c>
      <c r="K1411" s="1">
        <f t="shared" si="1497"/>
        <v>3.2600778369108106E-5</v>
      </c>
      <c r="L1411" s="1">
        <f t="shared" ref="L1411" si="1498">SUM(L1416:L1424)</f>
        <v>9.2360524978417868E-6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0.78651912627715848</v>
      </c>
      <c r="G1412" s="1">
        <f t="shared" ref="G1412:L1412" si="1499">IF(G1411-G1413&lt;0,0,G1411-G1413)</f>
        <v>0.79629754794929719</v>
      </c>
      <c r="H1412" s="1">
        <f t="shared" si="1499"/>
        <v>0.96155580986775724</v>
      </c>
      <c r="I1412" s="1">
        <f t="shared" si="1499"/>
        <v>1.6410428004993317E-6</v>
      </c>
      <c r="J1412" s="1">
        <f t="shared" si="1499"/>
        <v>5.4723048539908429E-6</v>
      </c>
      <c r="K1412" s="1">
        <f t="shared" si="1499"/>
        <v>2.9410552047396834E-5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2.0104628275280857E-2</v>
      </c>
      <c r="G1413" s="1">
        <f t="shared" ref="G1413" si="1500">SUM(G1414:G1415)</f>
        <v>2.1310384299216428E-2</v>
      </c>
      <c r="H1413" s="1">
        <f t="shared" ref="H1413" si="1501">SUM(H1414:H1415)</f>
        <v>4.5174959418854181E-2</v>
      </c>
      <c r="I1413" s="1">
        <f t="shared" ref="I1413" si="1502">SUM(I1414:I1415)</f>
        <v>7.6986889257698095E-8</v>
      </c>
      <c r="J1413" s="1">
        <f t="shared" ref="J1413" si="1503">SUM(J1414:J1415)</f>
        <v>4.4499399585160052E-7</v>
      </c>
      <c r="K1413" s="1">
        <f t="shared" ref="K1413:L1413" si="1504">SUM(K1414:K1415)</f>
        <v>3.1902263217112701E-6</v>
      </c>
      <c r="L1413" s="1">
        <f t="shared" si="1504"/>
        <v>9.2389041705618355E-6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2.0104628275280857E-2</v>
      </c>
      <c r="G1414" s="1">
        <f>[1]Transport!C$26/SUM([1]Transport!C$22,[1]Transport!C$26)*G1411*(G$34+G$582)/(G$34+G$582+G$38)</f>
        <v>2.1310384299216428E-2</v>
      </c>
      <c r="H1414" s="1">
        <f>[1]Transport!D$26/SUM([1]Transport!D$22,[1]Transport!D$26)*H1411*(H$34+H$582)/(H$34+H$582+H$38)</f>
        <v>4.5174959418854181E-2</v>
      </c>
      <c r="I1414" s="1">
        <f>[1]Transport!E$26/SUM([1]Transport!E$22,[1]Transport!E$26)*I1411*(I$34+I$582)/(I$34+I$582+I$38)</f>
        <v>7.6986889257698095E-8</v>
      </c>
      <c r="J1414" s="1">
        <f>[2]Transport!F$26/SUM([2]Transport!F$22,[2]Transport!F$26)*J1411*(J$34+J$582)/(J$34+J$582+J$38)</f>
        <v>4.4499399585160052E-7</v>
      </c>
      <c r="K1414" s="1">
        <f>[2]Transport!G$26/SUM([2]Transport!G$22,[2]Transport!G$26)*K1411*(K$34+K$582)/(K$34+K$582+K$38)</f>
        <v>3.189282111583804E-6</v>
      </c>
      <c r="L1414" s="1">
        <f>[2]Transport!H$26/SUM([2]Transport!H$22,[2]Transport!H$26)*L1411*(L$34+L$582)/(L$34+L$582+L$38)</f>
        <v>9.0448614107640508E-6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9.4421012746617099E-10</v>
      </c>
      <c r="L1415" s="1">
        <f>(L$38+L$718)/([2]Transport!H$22+[2]Transport!H$26)*L1411</f>
        <v>1.9404275979778511E-7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6.8407365967768597E-3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7.3486675147620374E-3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2.6198629726566509E-6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4.8956616216903361E-6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1.1987180721849793E-6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3.2172734561914008E-4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5.8639969510596913E-4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7.61245863353592E-6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1.4813132208381266E-6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2.0853083914208461E-4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3.6502855513999798E-4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1.7180296897570299E-6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4.497045342200842E-5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8.381882965205233E-5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6.0272569479648879E-3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6.0130376949580604E-3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5.9684716553843132E-3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0.11327743733180765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0.28751003189509389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0.35302374016657956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3.2974358771857929E-6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8.2095211997233054E-6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2.7029607584083732E-6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0.51922324201353776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0.3891131986256805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0.48216869504593762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1.1883136914158546E-5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3.8530604464103081E-6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0.15469846872876225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0.12708133706402935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0.15662742198897978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1.3397349530366769E-2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4.7436173379163056E-4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5.5852583506995745E-4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1.371307100778401E-4</v>
      </c>
      <c r="G1425" s="1">
        <f t="shared" ref="G1425" si="1505">SUM(G1430:G1434)</f>
        <v>1.0406073732016493E-3</v>
      </c>
      <c r="H1425" s="1">
        <f t="shared" ref="H1425" si="1506">SUM(H1430:H1434)</f>
        <v>2.1425758576217348E-3</v>
      </c>
      <c r="I1425" s="1">
        <f t="shared" ref="I1425" si="1507">SUM(I1430:I1434)</f>
        <v>0</v>
      </c>
      <c r="J1425" s="1">
        <f t="shared" ref="J1425" si="1508">SUM(J1430:J1434)</f>
        <v>9.1561914683979321E-7</v>
      </c>
      <c r="K1425" s="1">
        <f t="shared" ref="K1425:L1425" si="1509">SUM(K1430:K1434)</f>
        <v>1.2419812077400845E-5</v>
      </c>
      <c r="L1425" s="1">
        <f t="shared" si="1509"/>
        <v>1.9517597725644245E-6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1.2678151042383134E-4</v>
      </c>
      <c r="G1426" s="1">
        <f t="shared" ref="G1426:L1426" si="1510">IF(G1425-G1427&lt;0,0,G1425-G1427)</f>
        <v>9.409966066269359E-4</v>
      </c>
      <c r="H1426" s="1">
        <f t="shared" si="1510"/>
        <v>2.1208707772963071E-3</v>
      </c>
      <c r="I1426" s="1">
        <f t="shared" si="1510"/>
        <v>0</v>
      </c>
      <c r="J1426" s="1">
        <f t="shared" si="1510"/>
        <v>0</v>
      </c>
      <c r="K1426" s="1">
        <f t="shared" si="1510"/>
        <v>0</v>
      </c>
      <c r="L1426" s="1">
        <f t="shared" si="1510"/>
        <v>0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1.034919965400876E-5</v>
      </c>
      <c r="G1427" s="1">
        <f t="shared" ref="G1427" si="1511">SUM(G1428:G1429)</f>
        <v>9.9610766574713365E-5</v>
      </c>
      <c r="H1427" s="1">
        <f t="shared" ref="H1427" si="1512">SUM(H1428:H1429)</f>
        <v>2.1705080325427587E-5</v>
      </c>
      <c r="I1427" s="1">
        <f t="shared" ref="I1427" si="1513">SUM(I1428:I1429)</f>
        <v>0</v>
      </c>
      <c r="J1427" s="1">
        <f t="shared" ref="J1427" si="1514">SUM(J1428:J1429)</f>
        <v>2.8231985044171949E-4</v>
      </c>
      <c r="K1427" s="1">
        <f t="shared" ref="K1427:L1427" si="1515">SUM(K1428:K1429)</f>
        <v>5.1210834841302038E-5</v>
      </c>
      <c r="L1427" s="1">
        <f t="shared" si="1515"/>
        <v>1.6360959283721478E-5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1.034919965400876E-5</v>
      </c>
      <c r="G1428" s="1">
        <f>[1]Transport!C$27/SUM([1]Transport!C$24,[1]Transport!C$27)*G1425*(G$47+G$614)/(G$47+G$614+G$49)</f>
        <v>9.9610766574713365E-5</v>
      </c>
      <c r="H1428" s="1">
        <f>[1]Transport!D$27/SUM([1]Transport!D$24,[1]Transport!D$27)*H1425*(H$47+H$614)/(H$47+H$614+H$49)</f>
        <v>2.1705080325427587E-5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8.1007564154546564E-9</v>
      </c>
      <c r="K1428" s="1">
        <f>[2]Transport!G$27/SUM([2]Transport!G$24,[2]Transport!G$27)*K1425*(K$47+K$614)/(K$47+K$614+K$49)</f>
        <v>1.668151916098565E-6</v>
      </c>
      <c r="L1428" s="1">
        <f>[2]Transport!H$27/SUM([2]Transport!H$24,[2]Transport!H$27)*L1425*(L$47+L$614)/(L$47+L$614+L$49)</f>
        <v>8.9676295697025487E-7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2.8231174968530406E-4</v>
      </c>
      <c r="K1429" s="1">
        <f>(K$49+K$716)/([2]Transport!G$24+[2]Transport!G$27)*K1425</f>
        <v>4.954268292520347E-5</v>
      </c>
      <c r="L1429" s="1">
        <f>(L$49+L$716)/([2]Transport!H$24+[2]Transport!H$27)*L1425</f>
        <v>1.5464196326751222E-5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1.371307100778401E-4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1.3749365754908279E-4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1.3634657924191149E-4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4.7524375681192398E-4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8.4462507767413318E-4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9.1561914683979321E-7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4.3561564302406976E-6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5.751786710645898E-7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2.1621416049675272E-4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5.6714379371293271E-4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8.063655647160147E-6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1.3765811014998346E-6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1.7610334031692551E-4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4.8941726056034242E-4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3.5552458026964156E-5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1.0504314643241477E-4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0.13095982918538257</v>
      </c>
      <c r="G1435" s="3">
        <f t="shared" ref="G1435" si="1516">SUM(G1436:G1458)</f>
        <v>0.1316410792675316</v>
      </c>
      <c r="H1435" s="3">
        <f t="shared" ref="H1435" si="1517">SUM(H1436:H1458)</f>
        <v>0.13268148360649634</v>
      </c>
      <c r="I1435" s="3">
        <f t="shared" ref="I1435" si="1518">SUM(I1436:I1458)</f>
        <v>0.13440863161754635</v>
      </c>
      <c r="J1435" s="3">
        <f t="shared" ref="J1435" si="1519">SUM(J1436:J1458)</f>
        <v>0.13463529556038734</v>
      </c>
      <c r="K1435" s="3">
        <f t="shared" ref="K1435:L1435" si="1520">SUM(K1436:K1458)</f>
        <v>0.13472750727286387</v>
      </c>
      <c r="L1435" s="3">
        <f t="shared" si="1520"/>
        <v>0.13114361186842882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1.4686171447460554E-4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2.1692842042781981E-3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2.5122965868863314E-3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6.4720676196293778E-2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6.4827206119591904E-2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6.4857181166934272E-2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6.3146625439857204E-2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4.697342394608739E-4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1.0357051082175136E-3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1.1325083714405523E-3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5.7406389892896204E-2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5.7501760351292022E-2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5.7537349262502951E-2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5.6009197130609069E-2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7.2027098227680364E-5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1.2214759180188928E-4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1.5292811535677988E-4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1.2274919619103045E-2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1.2298221985784211E-2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1.2306759131398212E-2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1.1979737990273064E-2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1.0996659072283346E-5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1.8179773438667912E-5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6.5093570565073447E-6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6.9538899509020509E-6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1.9886834731366787E-5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6.4765525003398169E-6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1.1117134129390418E-3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1.1988023470035601E-3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5.0957957254729167E-7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1.0018894029705896E-6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2.4531575637304754E-7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3.7479284281549972E-5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6.983439755459006E-5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0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1.1165355264578431E-6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2.172673661031411E-7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1.6314582898135565E-5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2.9163226526405274E-5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1.365521967997969E-7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2.3722561678412795E-6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4.5188816693665454E-6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5.9972711000600629E-2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4.7982397149128934E-2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2.9985256838075548E-2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1.4037245729102288E-2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3.6385879279730311E-2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4.5259162564862079E-2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5.1057229121749117E-7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1.3363077180256173E-6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4.3997539382725803E-7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4.5414300948865907E-2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3.4171424279639019E-2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4.2319065715581528E-2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1.3479937146090977E-6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4.370816646555315E-7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8.9647032430736264E-3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7.393327400954346E-3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9.1083854024151985E-3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5.1776041927314683E-4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1.8482993545135832E-5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2.1975932362750108E-5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1.3644847923037916E-3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1.0967590782159809E-3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6.8399892464928152E-4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5.7142130595011831E-5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1.0327956353526874E-4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1.3306190456318321E-7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6.6609937674013064E-7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8.795050417626289E-8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1.8377787696688719E-5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4.9593693240338009E-5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8.6205155826478928E-7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1.4716450398569751E-7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9.9361261703312351E-6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2.8452719906458212E-5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1.3399421993281422E-6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4.0805519916238342E-6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0.37869321701871866</v>
      </c>
      <c r="G1461" s="1">
        <f t="shared" si="1528"/>
        <v>0.39093847838955337</v>
      </c>
      <c r="H1461" s="1">
        <f t="shared" si="1528"/>
        <v>0.39392281954432651</v>
      </c>
      <c r="I1461" s="1">
        <f t="shared" si="1528"/>
        <v>0.44729952526125627</v>
      </c>
      <c r="J1461" s="1">
        <f t="shared" si="1528"/>
        <v>0.47086185022602767</v>
      </c>
      <c r="K1461" s="1">
        <f t="shared" si="1528"/>
        <v>0.47128889006535962</v>
      </c>
      <c r="L1461" s="1">
        <f t="shared" ref="L1461" si="1529">IFERROR(L1437/L1402,"-")</f>
        <v>0.53150218127588655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0.27518070496490726</v>
      </c>
      <c r="G1462" s="1">
        <f t="shared" si="1530"/>
        <v>0.27808861231315707</v>
      </c>
      <c r="H1462" s="1">
        <f t="shared" si="1530"/>
        <v>0.27962421068242294</v>
      </c>
      <c r="I1462" s="1">
        <f t="shared" si="1530"/>
        <v>0.3243007582409802</v>
      </c>
      <c r="J1462" s="1">
        <f t="shared" si="1530"/>
        <v>0.33543648866109466</v>
      </c>
      <c r="K1462" s="1">
        <f t="shared" si="1530"/>
        <v>0.34681555405594994</v>
      </c>
      <c r="L1462" s="1">
        <f t="shared" ref="L1462" si="1531">IFERROR(L1438/L1403,"-")</f>
        <v>0.37944057376605517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0.18297040713439894</v>
      </c>
      <c r="G1463" s="1">
        <f t="shared" si="1532"/>
        <v>0.18501622946950105</v>
      </c>
      <c r="H1463" s="1">
        <f t="shared" si="1532"/>
        <v>0.18780509587584579</v>
      </c>
      <c r="I1463" s="1">
        <f t="shared" si="1532"/>
        <v>0.21583768061035952</v>
      </c>
      <c r="J1463" s="1">
        <f t="shared" si="1532"/>
        <v>0.21905781709487013</v>
      </c>
      <c r="K1463" s="1">
        <f t="shared" si="1532"/>
        <v>0.2358037733817013</v>
      </c>
      <c r="L1463" s="1">
        <f t="shared" ref="L1463" si="1533">IFERROR(L1439/L1404,"-")</f>
        <v>0.25584115848642963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0.12643429100140419</v>
      </c>
      <c r="H1464" s="1">
        <f t="shared" si="1534"/>
        <v>0.1293361822157775</v>
      </c>
      <c r="I1464" s="1">
        <f t="shared" si="1534"/>
        <v>0.14062267667862027</v>
      </c>
      <c r="J1464" s="1">
        <f t="shared" si="1534"/>
        <v>0.1515184895186788</v>
      </c>
      <c r="K1464" s="1">
        <f t="shared" si="1534"/>
        <v>0.15784269532532322</v>
      </c>
      <c r="L1464" s="1">
        <f t="shared" ref="L1464" si="1535">IFERROR(L1440/L1405,"-")</f>
        <v>0.17192890873515115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0.1625136996888385</v>
      </c>
      <c r="H1469" s="1">
        <f t="shared" si="1544"/>
        <v>0.163131934407891</v>
      </c>
      <c r="I1469" s="1" t="str">
        <f t="shared" si="1544"/>
        <v>-</v>
      </c>
      <c r="J1469" s="1">
        <f t="shared" si="1544"/>
        <v>0.19450619282983209</v>
      </c>
      <c r="K1469" s="1">
        <f t="shared" si="1544"/>
        <v>0.20464841739300296</v>
      </c>
      <c r="L1469" s="1">
        <f t="shared" ref="L1469" si="1545">IFERROR(L1445/L1416,"-")</f>
        <v>0.20464841739300299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0.11649393435744142</v>
      </c>
      <c r="H1470" s="1">
        <f t="shared" si="1546"/>
        <v>0.1190900986774391</v>
      </c>
      <c r="I1470" s="1" t="str">
        <f t="shared" si="1546"/>
        <v>-</v>
      </c>
      <c r="J1470" s="1" t="str">
        <f t="shared" si="1546"/>
        <v>-</v>
      </c>
      <c r="K1470" s="1">
        <f t="shared" si="1546"/>
        <v>0.14667213054387687</v>
      </c>
      <c r="L1470" s="1">
        <f t="shared" ref="L1470" si="1547">IFERROR(L1446/L1417,"-")</f>
        <v>0.14667213054387734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7.8235828164578858E-2</v>
      </c>
      <c r="H1471" s="1">
        <f t="shared" si="1548"/>
        <v>7.9893000467375533E-2</v>
      </c>
      <c r="I1471" s="1">
        <f t="shared" si="1548"/>
        <v>7.9481860886297384E-2</v>
      </c>
      <c r="J1471" s="1" t="str">
        <f t="shared" si="1548"/>
        <v>-</v>
      </c>
      <c r="K1471" s="1" t="str">
        <f t="shared" si="1548"/>
        <v>-</v>
      </c>
      <c r="L1471" s="1" t="str">
        <f t="shared" ref="L1471" si="1549">IFERROR(L1447/L1418,"-")</f>
        <v>-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5.2751439830497765E-2</v>
      </c>
      <c r="H1472" s="1">
        <f t="shared" si="1550"/>
        <v>5.391248825741507E-2</v>
      </c>
      <c r="I1472" s="1" t="str">
        <f t="shared" si="1550"/>
        <v>-</v>
      </c>
      <c r="J1472" s="1" t="str">
        <f t="shared" si="1550"/>
        <v>-</v>
      </c>
      <c r="K1472" s="1" t="str">
        <f t="shared" si="1550"/>
        <v>-</v>
      </c>
      <c r="L1472" s="1" t="str">
        <f t="shared" ref="L1472" si="1551">IFERROR(L1448/L1419,"-")</f>
        <v>-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52">IFERROR(G1449/G1420,"-")</f>
        <v>7.9797266512003135</v>
      </c>
      <c r="H1473" s="1">
        <f t="shared" si="1552"/>
        <v>5.0239422367072937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0.12391916748597481</v>
      </c>
      <c r="G1474" s="1">
        <f t="shared" si="1554"/>
        <v>0.12655516414469573</v>
      </c>
      <c r="H1474" s="1">
        <f t="shared" si="1554"/>
        <v>0.1282043030406563</v>
      </c>
      <c r="I1474" s="1" t="str">
        <f t="shared" si="1554"/>
        <v>-</v>
      </c>
      <c r="J1474" s="1">
        <f t="shared" si="1554"/>
        <v>0.15483918724546683</v>
      </c>
      <c r="K1474" s="1">
        <f t="shared" si="1554"/>
        <v>0.16277535382583047</v>
      </c>
      <c r="L1474" s="1">
        <f t="shared" ref="L1474" si="1555">IFERROR(L1450/L1421,"-")</f>
        <v>0.16277535382583047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8.7465847585616777E-2</v>
      </c>
      <c r="G1475" s="1">
        <f t="shared" si="1556"/>
        <v>8.7818723189884082E-2</v>
      </c>
      <c r="H1475" s="1">
        <f t="shared" si="1556"/>
        <v>8.7768173567447524E-2</v>
      </c>
      <c r="I1475" s="1" t="str">
        <f t="shared" si="1556"/>
        <v>-</v>
      </c>
      <c r="J1475" s="1" t="str">
        <f t="shared" si="1556"/>
        <v>-</v>
      </c>
      <c r="K1475" s="1">
        <f t="shared" si="1556"/>
        <v>0.11343753121307448</v>
      </c>
      <c r="L1475" s="1">
        <f t="shared" ref="L1475" si="1557">IFERROR(L1451/L1422,"-")</f>
        <v>0.11343753121307434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5.7949527986548635E-2</v>
      </c>
      <c r="G1476" s="1">
        <f t="shared" si="1558"/>
        <v>5.8177916378305425E-2</v>
      </c>
      <c r="H1476" s="1">
        <f t="shared" si="1558"/>
        <v>5.8153197484512385E-2</v>
      </c>
      <c r="I1476" s="1" t="str">
        <f t="shared" si="1558"/>
        <v>-</v>
      </c>
      <c r="J1476" s="1" t="str">
        <f t="shared" si="1558"/>
        <v>-</v>
      </c>
      <c r="K1476" s="1" t="str">
        <f t="shared" si="1558"/>
        <v>-</v>
      </c>
      <c r="L1476" s="1" t="str">
        <f t="shared" ref="L1476" si="1559">IFERROR(L1452/L1423,"-")</f>
        <v>-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3.8646481387947525E-2</v>
      </c>
      <c r="G1477" s="1">
        <f t="shared" si="1560"/>
        <v>3.89639218943717E-2</v>
      </c>
      <c r="H1477" s="1">
        <f t="shared" si="1560"/>
        <v>3.9346313067143153E-2</v>
      </c>
      <c r="I1477" s="1" t="str">
        <f t="shared" si="1560"/>
        <v>-</v>
      </c>
      <c r="J1477" s="1" t="str">
        <f t="shared" si="1560"/>
        <v>-</v>
      </c>
      <c r="K1477" s="1" t="str">
        <f t="shared" si="1560"/>
        <v>-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562">IFERROR(G1454/G1430,"-")</f>
        <v>7.9767976048237523</v>
      </c>
      <c r="H1478" s="1">
        <f t="shared" si="1562"/>
        <v>5.0166196207658693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0.1202375197484722</v>
      </c>
      <c r="H1479" s="1">
        <f t="shared" si="1564"/>
        <v>0.1222785899510259</v>
      </c>
      <c r="I1479" s="1" t="str">
        <f t="shared" si="1564"/>
        <v>-</v>
      </c>
      <c r="J1479" s="1">
        <f t="shared" si="1564"/>
        <v>0.14532451076677319</v>
      </c>
      <c r="K1479" s="1">
        <f t="shared" si="1564"/>
        <v>0.1529098845294051</v>
      </c>
      <c r="L1479" s="1">
        <f t="shared" ref="L1479" si="1565">IFERROR(L1455/L1431,"-")</f>
        <v>0.15290988452940474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8.4998076233608819E-2</v>
      </c>
      <c r="H1480" s="1">
        <f t="shared" si="1566"/>
        <v>8.744465475970721E-2</v>
      </c>
      <c r="I1480" s="1" t="str">
        <f t="shared" si="1566"/>
        <v>-</v>
      </c>
      <c r="J1480" s="1" t="str">
        <f t="shared" si="1566"/>
        <v>-</v>
      </c>
      <c r="K1480" s="1">
        <f t="shared" si="1566"/>
        <v>0.10690580004720143</v>
      </c>
      <c r="L1480" s="1">
        <f t="shared" ref="L1480" si="1567">IFERROR(L1456/L1432,"-")</f>
        <v>0.10690580004720136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5.6422133461237145E-2</v>
      </c>
      <c r="H1481" s="1">
        <f t="shared" si="1568"/>
        <v>5.8135914278712182E-2</v>
      </c>
      <c r="I1481" s="1" t="str">
        <f t="shared" si="1568"/>
        <v>-</v>
      </c>
      <c r="J1481" s="1" t="str">
        <f t="shared" si="1568"/>
        <v>-</v>
      </c>
      <c r="K1481" s="1" t="str">
        <f t="shared" si="1568"/>
        <v>-</v>
      </c>
      <c r="L1481" s="1" t="str">
        <f t="shared" ref="L1481" si="1569">IFERROR(L1457/L1433,"-")</f>
        <v>-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3.7689157759834377E-2</v>
      </c>
      <c r="H1482" s="1">
        <f t="shared" si="1570"/>
        <v>3.884643720425187E-2</v>
      </c>
      <c r="I1482" s="1" t="str">
        <f t="shared" si="1570"/>
        <v>-</v>
      </c>
      <c r="J1482" s="1" t="str">
        <f t="shared" si="1570"/>
        <v>-</v>
      </c>
      <c r="K1482" s="1" t="str">
        <f t="shared" si="1570"/>
        <v>-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0.45958965891661224</v>
      </c>
      <c r="K1483" s="3">
        <f t="shared" si="1572"/>
        <v>0.47237229295618205</v>
      </c>
      <c r="L1483" s="3">
        <f t="shared" si="1572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0.45958965891661224</v>
      </c>
      <c r="K1484" s="1">
        <f t="shared" si="1573"/>
        <v>0.47237229295618205</v>
      </c>
      <c r="L1484" s="1">
        <f t="shared" si="1573"/>
        <v>0.48809144422268363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3.1140487340042711E-2</v>
      </c>
      <c r="K1486" s="3">
        <f t="shared" si="1577"/>
        <v>3.2006602244411902E-2</v>
      </c>
      <c r="L1486" s="3">
        <f t="shared" si="1577"/>
        <v>3.3071687199031169E-2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6.7757154095786185E-2</v>
      </c>
      <c r="K1489" s="1">
        <f t="shared" si="1578"/>
        <v>6.7757154095786226E-2</v>
      </c>
      <c r="L1489" s="1">
        <f t="shared" ref="L1489" si="1579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0.7561616857731851</v>
      </c>
      <c r="K1490" s="3">
        <f t="shared" ref="K1490:L1491" si="1584">K1491</f>
        <v>0.77325934733858914</v>
      </c>
      <c r="L1490" s="3">
        <f t="shared" si="1584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0.7561616857731851</v>
      </c>
      <c r="K1491" s="1">
        <f t="shared" si="1584"/>
        <v>0.77325934733858914</v>
      </c>
      <c r="L1491" s="1">
        <f t="shared" si="1584"/>
        <v>0.79899112903654423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3.8185104274620588E-2</v>
      </c>
      <c r="K1493" s="3">
        <f t="shared" ref="K1493:L1493" si="1592">K1494</f>
        <v>3.9048512196511807E-2</v>
      </c>
      <c r="L1493" s="3">
        <f t="shared" si="1592"/>
        <v>4.0347931071859175E-2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5.0498597050147843E-2</v>
      </c>
      <c r="K1496" s="1">
        <f t="shared" si="1593"/>
        <v>5.0498597050147948E-2</v>
      </c>
      <c r="L1496" s="1">
        <f t="shared" ref="L1496" si="1594">L1494/L1492</f>
        <v>5.0498597050147906E-2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2.4107450672243087</v>
      </c>
      <c r="G1497" s="3">
        <f t="shared" ref="G1497:K1497" si="1595">SUM(G1498,G1503,G1508)</f>
        <v>2.1601335405463229</v>
      </c>
      <c r="H1497" s="3">
        <f t="shared" si="1595"/>
        <v>1.8787363387846221</v>
      </c>
      <c r="I1497" s="3">
        <f t="shared" si="1595"/>
        <v>1.493777756094576</v>
      </c>
      <c r="J1497" s="3">
        <f t="shared" si="1595"/>
        <v>1.1768660168825269</v>
      </c>
      <c r="K1497" s="3">
        <f t="shared" si="1595"/>
        <v>1.0544614049530601</v>
      </c>
      <c r="L1497" s="3">
        <f t="shared" ref="L1497" si="1596">SUM(L1498,L1503,L1508)</f>
        <v>0.35305386152907842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2.1902275259643392E-3</v>
      </c>
      <c r="G1498" s="1">
        <f t="shared" ref="G1498:K1498" si="1598">SUM(G1499:G1502)</f>
        <v>3.2922341397748607E-3</v>
      </c>
      <c r="H1498" s="1">
        <f t="shared" si="1598"/>
        <v>3.5277128450142336E-3</v>
      </c>
      <c r="I1498" s="1">
        <f t="shared" si="1598"/>
        <v>2.9295098299796235E-3</v>
      </c>
      <c r="J1498" s="1">
        <f t="shared" si="1598"/>
        <v>8.9398280569910019E-4</v>
      </c>
      <c r="K1498" s="1">
        <f t="shared" si="1598"/>
        <v>9.9943660613448075E-4</v>
      </c>
      <c r="L1498" s="1">
        <f t="shared" ref="L1498" si="1599">SUM(L1499:L1502)</f>
        <v>0.12080415514878122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1.640286917648272E-3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2.4061434730673023E-3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2.4989495201288522E-3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1.849330734361235E-3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3.7490633722347369E-4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5.2795028843551051E-4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0.12050002182904243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3.718306317594815E-4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5.2209381719123531E-4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5.6593196412040231E-4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5.3891705457163701E-4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1.539895519118934E-4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1.3679396423486867E-4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1.0122225788153259E-4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8.7115376997652451E-5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1.8769345597598026E-4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2.3088824365525979E-4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2.7108876708659992E-4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2.1429697684442837E-4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1.540961972763216E-4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8.246430009565235E-5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9.099459955893351E-5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1.7630339354034321E-4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2.3194311710971919E-4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2.7017327396015151E-4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1.5078993971930478E-4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1.8059615618777985E-4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1.204467617616076E-4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1.7799903517597636E-4</v>
      </c>
      <c r="J1503" s="1">
        <f t="shared" si="1603"/>
        <v>2.1072605310621406E-4</v>
      </c>
      <c r="K1503" s="1">
        <f t="shared" si="1603"/>
        <v>2.9704909013983079E-4</v>
      </c>
      <c r="L1503" s="1">
        <f t="shared" ref="L1503" si="1604">SUM(L1504:L1507)</f>
        <v>2.8561284157352959E-4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5.8235842037764575E-5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7.8978653789492557E-5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1.0728800619468799E-4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9.8081131625800318E-5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4.8958416886246296E-5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6.0982411212458886E-5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8.2637340608711241E-5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6.6164124455245614E-5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4.4652901293015561E-5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4.4888664729993889E-5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6.6833527274291844E-5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7.0314100588813759E-5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2.6151874958949932E-5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2.5876323374268715E-5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4.0290216062139699E-5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5.1053484903669891E-5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2.4085548396983443</v>
      </c>
      <c r="G1508" s="1">
        <f t="shared" ref="G1508:K1508" si="1608">SUM(G1513:G1517)</f>
        <v>2.1568413064065481</v>
      </c>
      <c r="H1508" s="1">
        <f t="shared" si="1608"/>
        <v>1.8752086259396079</v>
      </c>
      <c r="I1508" s="1">
        <f t="shared" si="1608"/>
        <v>1.4906702472294204</v>
      </c>
      <c r="J1508" s="1">
        <f t="shared" si="1608"/>
        <v>1.1757613080237217</v>
      </c>
      <c r="K1508" s="1">
        <f t="shared" si="1608"/>
        <v>1.0531649192567858</v>
      </c>
      <c r="L1508" s="1">
        <f t="shared" ref="L1508" si="1609">SUM(L1513:L1517)</f>
        <v>0.23196409353872366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2.2767071479559013</v>
      </c>
      <c r="G1509" s="1">
        <f t="shared" ref="G1509:L1509" si="1610">IF(G1508-G1510&lt;0,0,G1508-G1510)</f>
        <v>2.038762569084331</v>
      </c>
      <c r="H1509" s="1">
        <f t="shared" si="1610"/>
        <v>1.7725583681924257</v>
      </c>
      <c r="I1509" s="1">
        <f t="shared" si="1610"/>
        <v>1.4090579416210622</v>
      </c>
      <c r="J1509" s="1">
        <f t="shared" si="1610"/>
        <v>1.1113691738931522</v>
      </c>
      <c r="K1509" s="1">
        <f t="shared" si="1610"/>
        <v>0.92102373104362978</v>
      </c>
      <c r="L1509" s="1">
        <f t="shared" si="1610"/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0.13184769174244282</v>
      </c>
      <c r="G1510" s="1">
        <f t="shared" ref="G1510" si="1613">SUM(G1511:G1512)</f>
        <v>0.11807873732221735</v>
      </c>
      <c r="H1510" s="1">
        <f t="shared" ref="H1510" si="1614">SUM(H1511:H1512)</f>
        <v>0.10265025774718209</v>
      </c>
      <c r="I1510" s="1">
        <f t="shared" ref="I1510" si="1615">SUM(I1511:I1512)</f>
        <v>8.1612305608358152E-2</v>
      </c>
      <c r="J1510" s="1">
        <f t="shared" ref="J1510" si="1616">SUM(J1511:J1512)</f>
        <v>6.4392134130569559E-2</v>
      </c>
      <c r="K1510" s="1">
        <f t="shared" ref="K1510:L1510" si="1617">SUM(K1511:K1512)</f>
        <v>0.13214118821315601</v>
      </c>
      <c r="L1510" s="1">
        <f t="shared" si="1617"/>
        <v>0.2324845230748083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0.13184769174244282</v>
      </c>
      <c r="G1511" s="1">
        <f>[1]Transport!C$25/SUM([1]Transport!C$21,[1]Transport!C$25)*G1508*(G$35+G$600)/(G$35+G$600+G$39)</f>
        <v>0.11807873732221735</v>
      </c>
      <c r="H1511" s="1">
        <f>[1]Transport!D$25/SUM([1]Transport!D$21,[1]Transport!D$25)*H1508*(H$35+H$600)/(H$35+H$600+H$39)</f>
        <v>0.10265025774718209</v>
      </c>
      <c r="I1511" s="1">
        <f>[1]Transport!E$25/SUM([1]Transport!E$21,[1]Transport!E$25)*I1508*(I$35+I$600)/(I$35+I$600+I$39)</f>
        <v>8.1612305608358152E-2</v>
      </c>
      <c r="J1511" s="1">
        <f>[2]Transport!F$25/SUM([2]Transport!F$21,[2]Transport!F$25)*J1508*(J$35+J$600)/(J$35+J$600+J$39)</f>
        <v>6.4392134130569559E-2</v>
      </c>
      <c r="K1511" s="1">
        <f>[2]Transport!G$25/SUM([2]Transport!G$21,[2]Transport!G$25)*K1508*(K$35+K$600)/(K$35+K$600+K$39)</f>
        <v>0.13204368437847325</v>
      </c>
      <c r="L1511" s="1">
        <f>[2]Transport!H$25/SUM([2]Transport!H$21,[2]Transport!H$25)*L1508*(L$35+L$600)/(L$35+L$600+L$39)</f>
        <v>0.1970738358615961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9.7503834682775037E-5</v>
      </c>
      <c r="L1512" s="1">
        <f>(L$39+L$719)/([2]Transport!H$21+[2]Transport!H$25)*L1508</f>
        <v>3.5410687213212194E-2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1.982352232893493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1.4968942403631762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1.0398332000890775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0.45310091440470485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4.4216571990477328E-2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0.17251479559385086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0.34355837790681909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0.6119642605234098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0.85140091671288942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0.89277121422330152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0.22462614751615503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0.11216579261553386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0.1630427300148308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0.16309792438308349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0.10213926671966063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9.9604983082958818E-3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3.8112468780092406E-4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2.0111968806655895E-4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0.16347392365494642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0.19803461015384916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0.20067815575124423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0.1972731362158425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0.18828102356620868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4.5840089951084032E-2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1.9754270217200315E-4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0.10634631854389387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0.12635493028084138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0.12804096780938368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0.12619266936580295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0.12611886943632775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0.11417249039459929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6.9392836323300686E-3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1.9491256538166464</v>
      </c>
      <c r="G1518" s="3">
        <f t="shared" ref="G1518:K1518" si="1620">SUM(G1519:G1531)</f>
        <v>1.9513607252574001</v>
      </c>
      <c r="H1518" s="3">
        <f t="shared" si="1620"/>
        <v>1.955453688525199</v>
      </c>
      <c r="I1518" s="3">
        <f t="shared" si="1620"/>
        <v>1.9617773488268146</v>
      </c>
      <c r="J1518" s="3">
        <f t="shared" si="1620"/>
        <v>1.9644012776039372</v>
      </c>
      <c r="K1518" s="3">
        <f t="shared" si="1620"/>
        <v>1.9646792553113752</v>
      </c>
      <c r="L1518" s="3">
        <f t="shared" ref="L1518" si="1621">SUM(L1519:L1531)</f>
        <v>1.9099310641672307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1.8205424778425031E-2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2.6733892157649247E-2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2.7777880018457438E-2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2.0599082690992396E-2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4.3022681659997484E-3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6.1088571871314732E-3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1.4355753041524946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2.3367786641783441E-3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3.2843916146390578E-3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3.5646044593972857E-3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3.4046355720524259E-3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9.9325175641480309E-4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8.947152786342135E-4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6.7298219809138989E-4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3.5631437325089595E-4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7.6963105038782163E-4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9.4936453567632942E-4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1.1196834113769297E-3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8.8696257525963716E-4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6.464758583574644E-4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3.5814777295052283E-4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3.4259953399991679E-4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6.6571464839714194E-4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8.7907304048482184E-4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1.0288083306235422E-3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5.7809042055757852E-4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6.9788296259070326E-4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4.7888068535088856E-4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2.7016294004554662E-4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3.7008541466392779E-4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5.0925423563651768E-4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4.785246758580873E-4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1.3223114441380772E-4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1.6617547888590352E-4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2.2738857574019353E-4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1.8614019315491622E-4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7.8618065252760401E-5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7.9706174045352077E-5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1.196002500648063E-4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1.283719475201771E-4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4.0850305582895343E-5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4.08231033184744E-5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6.4169271899101516E-5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8.2733225966104913E-5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1.5287208685117475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1.1784125219212056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0.84366676077365232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0.38582957825643732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8.4360074026174972E-2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0.33137751024757878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0.66535619803797985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1.2070206085359105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1.7231219605633978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1.8441921264875638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0.46685688319672081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0.12369228425125514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0.18004847636721194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0.18011586456966089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0.11283665804984432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1.1055759129920024E-2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4.5026831930092357E-4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2.4432484430678971E-4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0.11924229051171331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0.14459995959129754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0.14653307380757324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0.14405292595327537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0.13749317148654602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3.3526494141521944E-2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1.5702512857248773E-4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7.1869019165901396E-2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8.5468627659033153E-2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8.661086928231676E-2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8.5363505571006776E-2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8.5313023334927976E-2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7.7242022742934166E-2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4.7117461462441359E-3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11.098927012431879</v>
      </c>
      <c r="G1533" s="1">
        <f t="shared" si="1625"/>
        <v>11.110680828840779</v>
      </c>
      <c r="H1533" s="1">
        <f t="shared" si="1625"/>
        <v>11.115822786618411</v>
      </c>
      <c r="I1533" s="1">
        <f t="shared" si="1625"/>
        <v>11.138668875314718</v>
      </c>
      <c r="J1533" s="1">
        <f t="shared" si="1625"/>
        <v>11.475581335493024</v>
      </c>
      <c r="K1533" s="1">
        <f t="shared" si="1625"/>
        <v>11.570894686380447</v>
      </c>
      <c r="L1533" s="1">
        <f t="shared" ref="L1533" si="1626">IFERROR(L1519/L1499,"-")</f>
        <v>11.91348584309134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6.2845243629359953</v>
      </c>
      <c r="G1534" s="1">
        <f t="shared" si="1625"/>
        <v>6.2908073347975186</v>
      </c>
      <c r="H1534" s="1">
        <f t="shared" si="1625"/>
        <v>6.2986448643832285</v>
      </c>
      <c r="I1534" s="1">
        <f t="shared" si="1625"/>
        <v>6.3175502485417363</v>
      </c>
      <c r="J1534" s="1">
        <f t="shared" si="1625"/>
        <v>6.4501243368972307</v>
      </c>
      <c r="K1534" s="1">
        <f t="shared" si="1625"/>
        <v>6.5406049429054507</v>
      </c>
      <c r="L1534" s="1">
        <f t="shared" ref="L1534" si="1627">IFERROR(L1520/L1500,"-")</f>
        <v>6.6485594391603824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4.0901432735634922</v>
      </c>
      <c r="G1535" s="1">
        <f t="shared" si="1625"/>
        <v>4.1004682149723637</v>
      </c>
      <c r="H1535" s="1">
        <f t="shared" si="1625"/>
        <v>4.1117924440268583</v>
      </c>
      <c r="I1535" s="1">
        <f t="shared" si="1625"/>
        <v>4.130320202530724</v>
      </c>
      <c r="J1535" s="1">
        <f t="shared" si="1625"/>
        <v>4.1389411475624271</v>
      </c>
      <c r="K1535" s="1">
        <f t="shared" si="1625"/>
        <v>4.1952745738314317</v>
      </c>
      <c r="L1535" s="1">
        <f t="shared" ref="L1535" si="1628">IFERROR(L1521/L1501,"-")</f>
        <v>4.3430644840870354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3.7650534829600404</v>
      </c>
      <c r="G1536" s="1">
        <f t="shared" si="1625"/>
        <v>3.775960490770744</v>
      </c>
      <c r="H1536" s="1">
        <f t="shared" si="1625"/>
        <v>3.7900371929078718</v>
      </c>
      <c r="I1536" s="1">
        <f t="shared" si="1625"/>
        <v>3.8079574472465532</v>
      </c>
      <c r="J1536" s="1">
        <f t="shared" si="1625"/>
        <v>3.8337466122321744</v>
      </c>
      <c r="K1536" s="1">
        <f t="shared" si="1625"/>
        <v>3.8643289941623129</v>
      </c>
      <c r="L1536" s="1">
        <f t="shared" ref="L1536" si="1629">IFERROR(L1522/L1502,"-")</f>
        <v>3.9758701549710884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>
        <f t="shared" si="1630"/>
        <v>4.6391179485367839</v>
      </c>
      <c r="J1537" s="1">
        <f t="shared" si="1630"/>
        <v>4.6858916543493239</v>
      </c>
      <c r="K1537" s="1">
        <f t="shared" si="1630"/>
        <v>4.7466091849298593</v>
      </c>
      <c r="L1537" s="1">
        <f t="shared" ref="L1537" si="1631">IFERROR(L1523/L1504,"-")</f>
        <v>4.8788657708779022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>
        <f t="shared" si="1630"/>
        <v>2.7008868509993613</v>
      </c>
      <c r="J1538" s="1">
        <f t="shared" si="1630"/>
        <v>2.7249738995553749</v>
      </c>
      <c r="K1538" s="1">
        <f t="shared" si="1630"/>
        <v>2.7516444027026603</v>
      </c>
      <c r="L1538" s="1">
        <f t="shared" ref="L1538" si="1632">IFERROR(L1524/L1505,"-")</f>
        <v>2.8133100027768703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>
        <f t="shared" si="1630"/>
        <v>1.7606485351727312</v>
      </c>
      <c r="J1539" s="1">
        <f t="shared" si="1630"/>
        <v>1.7756414570312153</v>
      </c>
      <c r="K1539" s="1">
        <f t="shared" si="1630"/>
        <v>1.7895247332069466</v>
      </c>
      <c r="L1539" s="1">
        <f t="shared" ref="L1539" si="1633">IFERROR(L1525/L1506,"-")</f>
        <v>1.825692804788571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>
        <f t="shared" si="1630"/>
        <v>1.5620411785777211</v>
      </c>
      <c r="J1540" s="1">
        <f t="shared" si="1630"/>
        <v>1.5776237886665416</v>
      </c>
      <c r="K1540" s="1">
        <f t="shared" si="1630"/>
        <v>1.5926762914384249</v>
      </c>
      <c r="L1540" s="1">
        <f t="shared" ref="L1540" si="1634">IFERROR(L1526/L1507,"-")</f>
        <v>1.6205206387420925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0.77116510534577731</v>
      </c>
      <c r="G1541" s="1">
        <f t="shared" si="1635"/>
        <v>0.78723832996731913</v>
      </c>
      <c r="H1541" s="1">
        <f t="shared" si="1635"/>
        <v>0.81134816689963296</v>
      </c>
      <c r="I1541" s="1">
        <f t="shared" si="1635"/>
        <v>0.85153122845348861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1.9078836334110914</v>
      </c>
      <c r="G1542" s="1">
        <f t="shared" si="1635"/>
        <v>1.9208642893896253</v>
      </c>
      <c r="H1542" s="1">
        <f t="shared" si="1635"/>
        <v>1.9366612512603016</v>
      </c>
      <c r="I1542" s="1">
        <f t="shared" si="1635"/>
        <v>1.9723710785063693</v>
      </c>
      <c r="J1542" s="1">
        <f t="shared" si="1635"/>
        <v>2.0238666963339331</v>
      </c>
      <c r="K1542" s="1">
        <f t="shared" si="1635"/>
        <v>2.0656939841995077</v>
      </c>
      <c r="L1542" s="1">
        <f t="shared" ref="L1542" si="1637">IFERROR(L1528/L1514,"-")</f>
        <v>2.0783728357498745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1.102762984747321</v>
      </c>
      <c r="G1543" s="1">
        <f t="shared" si="1635"/>
        <v>1.1043023896302169</v>
      </c>
      <c r="H1543" s="1">
        <f t="shared" si="1635"/>
        <v>1.1043418562863239</v>
      </c>
      <c r="I1543" s="1">
        <f t="shared" si="1635"/>
        <v>1.1047333868133651</v>
      </c>
      <c r="J1543" s="1">
        <f t="shared" si="1635"/>
        <v>1.1099604445203233</v>
      </c>
      <c r="K1543" s="1">
        <f t="shared" si="1635"/>
        <v>1.1814199754388932</v>
      </c>
      <c r="L1543" s="1">
        <f t="shared" ref="L1543" si="1638">IFERROR(L1529/L1515,"-")</f>
        <v>1.2148231068553188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0.72942698043637044</v>
      </c>
      <c r="G1544" s="1">
        <f t="shared" si="1635"/>
        <v>0.73017519250276863</v>
      </c>
      <c r="H1544" s="1">
        <f t="shared" si="1635"/>
        <v>0.73018945813520475</v>
      </c>
      <c r="I1544" s="1">
        <f t="shared" si="1635"/>
        <v>0.73022069155763158</v>
      </c>
      <c r="J1544" s="1">
        <f t="shared" si="1635"/>
        <v>0.73025506703917398</v>
      </c>
      <c r="K1544" s="1">
        <f t="shared" si="1635"/>
        <v>0.73137932707588649</v>
      </c>
      <c r="L1544" s="1">
        <f t="shared" ref="L1544" si="1639">IFERROR(L1530/L1516,"-")</f>
        <v>0.79489207571820997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0.67580166525687346</v>
      </c>
      <c r="G1545" s="1">
        <f t="shared" si="1635"/>
        <v>0.67641703785572327</v>
      </c>
      <c r="H1545" s="1">
        <f t="shared" si="1635"/>
        <v>0.6764309171050279</v>
      </c>
      <c r="I1545" s="1">
        <f t="shared" si="1635"/>
        <v>0.67645375916058958</v>
      </c>
      <c r="J1545" s="1">
        <f t="shared" si="1635"/>
        <v>0.67644931893398419</v>
      </c>
      <c r="K1545" s="1">
        <f t="shared" si="1635"/>
        <v>0.6765379512698092</v>
      </c>
      <c r="L1545" s="1">
        <f t="shared" ref="L1545" si="1640">IFERROR(L1531/L1517,"-")</f>
        <v>0.67899604568577465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16.657025242626872</v>
      </c>
      <c r="G1546" s="3">
        <f t="shared" ref="G1546:K1546" si="1641">G1547+G1550+G1552+G1559+G1567</f>
        <v>15.598596711279653</v>
      </c>
      <c r="H1546" s="3">
        <f t="shared" si="1641"/>
        <v>13.991480536147877</v>
      </c>
      <c r="I1546" s="3">
        <f t="shared" si="1641"/>
        <v>11.304650607363683</v>
      </c>
      <c r="J1546" s="3">
        <f t="shared" si="1641"/>
        <v>8.2101889139932975</v>
      </c>
      <c r="K1546" s="3">
        <f t="shared" si="1641"/>
        <v>7.3306687214728044</v>
      </c>
      <c r="L1546" s="3">
        <f t="shared" ref="L1546" si="1642">L1547+L1550+L1552+L1559+L1567</f>
        <v>7.9237889099317336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7.5858466276621017E-2</v>
      </c>
      <c r="G1547" s="1">
        <f t="shared" ref="G1547:K1547" si="1645">SUM(G1548:G1549)</f>
        <v>0.11419088686153037</v>
      </c>
      <c r="H1547" s="1">
        <f t="shared" si="1645"/>
        <v>0.14404128100125044</v>
      </c>
      <c r="I1547" s="1">
        <f t="shared" si="1645"/>
        <v>1.7102927997286288</v>
      </c>
      <c r="J1547" s="1">
        <f t="shared" si="1645"/>
        <v>5.2293167824323774</v>
      </c>
      <c r="K1547" s="1">
        <f t="shared" si="1645"/>
        <v>7.33033123388355</v>
      </c>
      <c r="L1547" s="1">
        <f t="shared" ref="L1547" si="1646">SUM(L1548:L1549)</f>
        <v>7.9237836862835316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4.0473833016841522E-2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3.4834427840711203E-2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2.6370722615430921E-2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1.3146838668477384E-2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3.5384633259779495E-2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7.935645902081917E-2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0.11767055838581952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1.6971459610601514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5.2293167824323774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7.33033123388355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7.9237836862835316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6.4249998262830025E-5</v>
      </c>
      <c r="H1550" s="1">
        <f t="shared" si="1648"/>
        <v>9.7651575056517857E-5</v>
      </c>
      <c r="I1550" s="1">
        <f t="shared" si="1648"/>
        <v>8.327910432525534E-6</v>
      </c>
      <c r="J1550" s="1">
        <f t="shared" si="1648"/>
        <v>7.2987453018237294E-6</v>
      </c>
      <c r="K1550" s="1">
        <f t="shared" si="1648"/>
        <v>5.5966026125057647E-6</v>
      </c>
      <c r="L1550" s="1">
        <f t="shared" si="1648"/>
        <v>5.2236482021649906E-6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6.4249998262830025E-5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9.7651575056517857E-5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8.327910432525534E-6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7.2987453018237294E-6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5.5966026125057647E-6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5.2236482021649906E-6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1.3229585049975059</v>
      </c>
      <c r="G1552" s="1">
        <f t="shared" ref="G1552:K1552" si="1649">SUM(G1557:G1558)</f>
        <v>2.3458591954299575</v>
      </c>
      <c r="H1552" s="1">
        <f t="shared" si="1649"/>
        <v>1.3120562450197877</v>
      </c>
      <c r="I1552" s="1">
        <f t="shared" si="1649"/>
        <v>1.6352425061999956</v>
      </c>
      <c r="J1552" s="1">
        <f t="shared" si="1649"/>
        <v>0.96840180342872384</v>
      </c>
      <c r="K1552" s="1">
        <f t="shared" si="1649"/>
        <v>1.105010486478859E-4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1.2505378889999061</v>
      </c>
      <c r="G1553" s="1">
        <f t="shared" ref="G1553:L1553" si="1651">IF(G1552-G1554&lt;0,0,G1552-G1554)</f>
        <v>2.2174324581872544</v>
      </c>
      <c r="H1553" s="1">
        <f t="shared" si="1651"/>
        <v>1.2402333502938232</v>
      </c>
      <c r="I1553" s="1">
        <f t="shared" si="1651"/>
        <v>1.5457150527556041</v>
      </c>
      <c r="J1553" s="1">
        <f t="shared" si="1651"/>
        <v>0.91536598876708863</v>
      </c>
      <c r="K1553" s="1">
        <f t="shared" si="1651"/>
        <v>9.6636420610867927E-5</v>
      </c>
      <c r="L1553" s="1">
        <f t="shared" si="1651"/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7.2420615997599719E-2</v>
      </c>
      <c r="G1554" s="1">
        <f t="shared" ref="G1554:K1554" si="1652">SUM(G1555:G1556)</f>
        <v>0.12842673724270301</v>
      </c>
      <c r="H1554" s="1">
        <f t="shared" si="1652"/>
        <v>7.1822894725964551E-2</v>
      </c>
      <c r="I1554" s="1">
        <f t="shared" si="1652"/>
        <v>8.9527453444391517E-2</v>
      </c>
      <c r="J1554" s="1">
        <f t="shared" si="1652"/>
        <v>5.3035814661635164E-2</v>
      </c>
      <c r="K1554" s="1">
        <f t="shared" si="1652"/>
        <v>1.386462803701797E-5</v>
      </c>
      <c r="L1554" s="1">
        <f t="shared" ref="L1554" si="1653">SUM(L1555:L1556)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7.2420615997599719E-2</v>
      </c>
      <c r="G1555" s="1">
        <f>[1]Transport!C$25/SUM([1]Transport!C$21,[1]Transport!C$25)*G1552*(G$35+G$600)/(G$35+G$600+G$39)</f>
        <v>0.12842673724270301</v>
      </c>
      <c r="H1555" s="1">
        <f>[1]Transport!D$25/SUM([1]Transport!D$21,[1]Transport!D$25)*H1552*(H$35+H$600)/(H$35+H$600+H$39)</f>
        <v>7.1822894725964551E-2</v>
      </c>
      <c r="I1555" s="1">
        <f>[1]Transport!E$25/SUM([1]Transport!E$21,[1]Transport!E$25)*I1552*(I$35+I$600)/(I$35+I$600+I$39)</f>
        <v>8.9527453444391517E-2</v>
      </c>
      <c r="J1555" s="1">
        <f>[2]Transport!F$25/SUM([2]Transport!F$21,[2]Transport!F$25)*J1552*(J$35+J$600)/(J$35+J$600+J$39)</f>
        <v>5.3035814661635164E-2</v>
      </c>
      <c r="K1555" s="1">
        <f>[2]Transport!G$25/SUM([2]Transport!G$21,[2]Transport!G$25)*K1552*(K$35+K$600)/(K$35+K$600+K$39)</f>
        <v>1.3854397658297001E-5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1.0230378720970037E-8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0.83339229100964285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1.7659935267544631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0.54228467330387153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0.27096178760306999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0.4895662139878631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0.57986566867549427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0.76977157171591604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1.3642807185969257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0.96840180342872384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1.105010486478859E-4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15.232765635283531</v>
      </c>
      <c r="G1559" s="1">
        <f t="shared" ref="G1559:K1559" si="1654">SUM(G1564:G1566)</f>
        <v>13.115772175244087</v>
      </c>
      <c r="H1559" s="1">
        <f t="shared" si="1654"/>
        <v>12.503786090218654</v>
      </c>
      <c r="I1559" s="1">
        <f t="shared" si="1654"/>
        <v>7.9590030486076753</v>
      </c>
      <c r="J1559" s="1">
        <f t="shared" si="1654"/>
        <v>2.0124224210195214</v>
      </c>
      <c r="K1559" s="1">
        <f t="shared" si="1654"/>
        <v>2.1602518409079302E-4</v>
      </c>
      <c r="L1559" s="1">
        <f t="shared" ref="L1559" si="1655">SUM(L1564:L1566)</f>
        <v>0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14.853097805054837</v>
      </c>
      <c r="G1560" s="1">
        <f t="shared" ref="G1560:L1560" si="1656">IF(G1559-G1561&lt;0,0,G1559-G1561)</f>
        <v>12.773918660361032</v>
      </c>
      <c r="H1560" s="1">
        <f t="shared" si="1656"/>
        <v>11.942704571266043</v>
      </c>
      <c r="I1560" s="1">
        <f t="shared" si="1656"/>
        <v>7.6023509546665649</v>
      </c>
      <c r="J1560" s="1">
        <f t="shared" si="1656"/>
        <v>1.861083792162763</v>
      </c>
      <c r="K1560" s="1">
        <f t="shared" si="1656"/>
        <v>1.9488552844711016E-4</v>
      </c>
      <c r="L1560" s="1">
        <f t="shared" si="1656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0.37966783022869471</v>
      </c>
      <c r="G1561" s="1">
        <f t="shared" ref="G1561:K1561" si="1657">SUM(G1562:G1563)</f>
        <v>0.34185351488305532</v>
      </c>
      <c r="H1561" s="1">
        <f t="shared" si="1657"/>
        <v>0.5610815189526096</v>
      </c>
      <c r="I1561" s="1">
        <f t="shared" si="1657"/>
        <v>0.35665209394111019</v>
      </c>
      <c r="J1561" s="1">
        <f t="shared" si="1657"/>
        <v>0.15133862885675839</v>
      </c>
      <c r="K1561" s="1">
        <f t="shared" si="1657"/>
        <v>2.1139655643682872E-5</v>
      </c>
      <c r="L1561" s="1">
        <f t="shared" ref="L1561" si="1658">SUM(L1562:L1563)</f>
        <v>0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0.37966783022869471</v>
      </c>
      <c r="G1562" s="1">
        <f>[1]Transport!C$26/SUM([1]Transport!C$22,[1]Transport!C$26)*G1559*(G$34+G$582)/(G$34+G$582+G$38)</f>
        <v>0.34185351488305532</v>
      </c>
      <c r="H1562" s="1">
        <f>[1]Transport!D$26/SUM([1]Transport!D$22,[1]Transport!D$26)*H1559*(H$34+H$582)/(H$34+H$582+H$38)</f>
        <v>0.5610815189526096</v>
      </c>
      <c r="I1562" s="1">
        <f>[1]Transport!E$26/SUM([1]Transport!E$22,[1]Transport!E$26)*I1559*(I$34+I$582)/(I$34+I$582+I$38)</f>
        <v>0.35665209394111019</v>
      </c>
      <c r="J1562" s="1">
        <f>[2]Transport!F$26/SUM([2]Transport!F$22,[2]Transport!F$26)*J1559*(J$34+J$582)/(J$34+J$582+J$38)</f>
        <v>0.15133862885675839</v>
      </c>
      <c r="K1562" s="1">
        <f>[2]Transport!G$26/SUM([2]Transport!G$22,[2]Transport!G$26)*K1559*(K$34+K$582)/(K$34+K$582+K$38)</f>
        <v>2.1133398947468538E-5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6.2566962143318621E-9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10.785927122657384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7.439215337854777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5.4515530101443721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2.7254332957258147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4.4468385126261483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5.2489110845245026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5.10514241007807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2.087470893045742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2.7931241999785842E-3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1.1424067451314734E-4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0.42764575286480677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1.9470906699962112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3.1460988598361186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2.0096292968195426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1.0178450957764569E-4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2.5442636069214691E-2</v>
      </c>
      <c r="G1567" s="1">
        <f t="shared" ref="G1567:K1567" si="1659">G1572</f>
        <v>2.2710203745814981E-2</v>
      </c>
      <c r="H1567" s="1">
        <f t="shared" si="1659"/>
        <v>3.149926833312789E-2</v>
      </c>
      <c r="I1567" s="1">
        <f t="shared" si="1659"/>
        <v>1.0392491695151445E-4</v>
      </c>
      <c r="J1567" s="1">
        <f t="shared" si="1659"/>
        <v>4.0608367373381602E-5</v>
      </c>
      <c r="K1567" s="1">
        <f t="shared" si="1659"/>
        <v>5.3647539029724613E-6</v>
      </c>
      <c r="L1567" s="1">
        <f t="shared" ref="L1567" si="1660">L1572</f>
        <v>0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2.3522490536130796E-2</v>
      </c>
      <c r="G1568" s="1">
        <f t="shared" ref="G1568:L1568" si="1661">IF(G1567-G1569&lt;0,0,G1567-G1569)</f>
        <v>2.0536299483318282E-2</v>
      </c>
      <c r="H1568" s="1">
        <f t="shared" si="1661"/>
        <v>3.1180169176413954E-2</v>
      </c>
      <c r="I1568" s="1">
        <f t="shared" si="1661"/>
        <v>1.0171101430933275E-4</v>
      </c>
      <c r="J1568" s="1">
        <f t="shared" si="1661"/>
        <v>0</v>
      </c>
      <c r="K1568" s="1">
        <f t="shared" si="1661"/>
        <v>0</v>
      </c>
      <c r="L1568" s="1">
        <f t="shared" si="1661"/>
        <v>0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1.9201455330838961E-3</v>
      </c>
      <c r="G1569" s="1">
        <f t="shared" ref="G1569:K1569" si="1662">SUM(G1570:G1571)</f>
        <v>2.1739042624966975E-3</v>
      </c>
      <c r="H1569" s="1">
        <f t="shared" si="1662"/>
        <v>3.1909915671393815E-4</v>
      </c>
      <c r="I1569" s="1">
        <f t="shared" si="1662"/>
        <v>2.2139026421817065E-6</v>
      </c>
      <c r="J1569" s="1">
        <f t="shared" si="1662"/>
        <v>1.2521088318330525E-2</v>
      </c>
      <c r="K1569" s="1">
        <f t="shared" si="1662"/>
        <v>2.2120586396734598E-5</v>
      </c>
      <c r="L1569" s="1">
        <f t="shared" ref="L1569" si="1663">SUM(L1570:L1571)</f>
        <v>0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1.9201455330838961E-3</v>
      </c>
      <c r="G1570" s="1">
        <f>[1]Transport!C$27/SUM([1]Transport!C$24,[1]Transport!C$27)*G1567*(G$47+G$614)/(G$47+G$614+G$49)</f>
        <v>2.1739042624966975E-3</v>
      </c>
      <c r="H1570" s="1">
        <f>[1]Transport!D$27/SUM([1]Transport!D$24,[1]Transport!D$27)*H1567*(H$47+H$614)/(H$47+H$614+H$49)</f>
        <v>3.1909915671393815E-4</v>
      </c>
      <c r="I1570" s="1">
        <f>[1]Transport!E$27/SUM([1]Transport!E$24,[1]Transport!E$27)*I1567*(I$47+I$614)/(I$47+I$614+I$49)</f>
        <v>2.2139026421817065E-6</v>
      </c>
      <c r="J1570" s="1">
        <f>[2]Transport!F$27/SUM([2]Transport!F$24,[2]Transport!F$27)*J1567*(J$47+J$614)/(J$47+J$614+J$49)</f>
        <v>3.5927437041529976E-7</v>
      </c>
      <c r="K1570" s="1">
        <f>[2]Transport!G$27/SUM([2]Transport!G$24,[2]Transport!G$27)*K1567*(K$47+K$614)/(K$47+K$614+K$49)</f>
        <v>7.2056037940580606E-7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1.2520729043960109E-2</v>
      </c>
      <c r="K1571" s="1">
        <f>(K$49+K$716)/([2]Transport!G$24+[2]Transport!G$27)*K1567</f>
        <v>2.1400026017328793E-5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2.5442636069214691E-2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2.2710203745814981E-2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3.149926833312789E-2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1.0392491695151445E-4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4.0608367373381602E-5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5.3647539029724613E-6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4.7787255725956062</v>
      </c>
      <c r="G1573" s="3">
        <f t="shared" ref="G1573:K1573" si="1664">SUM(G1574:G1582)</f>
        <v>4.7700762698269692</v>
      </c>
      <c r="H1573" s="3">
        <f t="shared" si="1664"/>
        <v>4.7104816417122732</v>
      </c>
      <c r="I1573" s="3">
        <f t="shared" si="1664"/>
        <v>4.6522237540301568</v>
      </c>
      <c r="J1573" s="3">
        <f t="shared" si="1664"/>
        <v>4.8301104732865445</v>
      </c>
      <c r="K1573" s="3">
        <f t="shared" si="1664"/>
        <v>4.9947063566182965</v>
      </c>
      <c r="L1573" s="3">
        <f t="shared" ref="L1573" si="1665">SUM(L1574:L1582)</f>
        <v>5.3989331131235305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2.7895490678906818E-2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2.4232445413925038E-2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1.8598790665996266E-2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9.2722260167249562E-3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2.4109587731588788E-2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5.4070124078561335E-2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8.0175725716865681E-2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1.1563632478848058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3.5630345753966042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4.9945766764751358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5.3989299973254985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2.9882894679728509E-5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4.6264786518337414E-5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4.1363251156928647E-6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3.8684205788302727E-6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3.1666901559688317E-6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3.1157980319181935E-6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0.23133574577777258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0.49477900773949773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0.15403648588695135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7.6966957811539144E-2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0.17195015146374643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0.20366599391160123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0.27036657058266589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0.47917578766500862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0.34013138982965568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3.8811240459452647E-5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2.79395028079098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1.9932444826699469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1.533460273113417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0.76663359564496403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1.5213279940556914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1.7957286617274766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1.746543311622538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0.71415408887682752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9.555683266295104E-4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3.9083392775155436E-5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0.19704530405302048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0.89715628067863007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1.4496203978746112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0.92597205320743547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4.6899003446797297E-5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8.1563220969203404E-3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7.2803673382602916E-3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1.0097938658690398E-2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3.3315930560272795E-5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1.3018105640717697E-5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1.7198163226608004E-6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666">IFERROR(G1574/G1548,"-")</f>
        <v>0.69564643130450488</v>
      </c>
      <c r="H1584" s="1">
        <f t="shared" si="1666"/>
        <v>0.70528179819816994</v>
      </c>
      <c r="I1584" s="1">
        <f t="shared" si="1666"/>
        <v>0.70528179819816939</v>
      </c>
      <c r="J1584" s="1" t="str">
        <f t="shared" si="1666"/>
        <v>-</v>
      </c>
      <c r="K1584" s="1" t="str">
        <f t="shared" si="1666"/>
        <v>-</v>
      </c>
      <c r="L1584" s="1" t="str">
        <f t="shared" ref="L1584" si="1667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668">IFERROR(G1575/G1549,"-")</f>
        <v>0.68135756995377073</v>
      </c>
      <c r="H1585" s="1">
        <f t="shared" si="1668"/>
        <v>0.68135756995377406</v>
      </c>
      <c r="I1585" s="1">
        <f t="shared" si="1668"/>
        <v>0.68135756995377328</v>
      </c>
      <c r="J1585" s="1">
        <f t="shared" si="1668"/>
        <v>0.68135756995377228</v>
      </c>
      <c r="K1585" s="1">
        <f t="shared" si="1668"/>
        <v>0.68135756995377272</v>
      </c>
      <c r="L1585" s="1">
        <f t="shared" ref="L1585" si="1669">IFERROR(L1575/L1549,"-")</f>
        <v>0.68135756995377328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70">IFERROR(G1576/G1551,"-")</f>
        <v>0.46510343171505408</v>
      </c>
      <c r="H1586" s="1">
        <f t="shared" si="1670"/>
        <v>0.47377409418701866</v>
      </c>
      <c r="I1586" s="1">
        <f t="shared" si="1670"/>
        <v>0.49668222889838126</v>
      </c>
      <c r="J1586" s="1">
        <f t="shared" si="1670"/>
        <v>0.53001172377719152</v>
      </c>
      <c r="K1586" s="1">
        <f t="shared" si="1670"/>
        <v>0.56582365681865177</v>
      </c>
      <c r="L1586" s="1">
        <f t="shared" ref="L1586" si="1671">IFERROR(L1576/L1551,"-")</f>
        <v>0.59647930169317709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672">IFERROR(G1577/G1557,"-")</f>
        <v>0.2801703405158007</v>
      </c>
      <c r="H1587" s="1">
        <f t="shared" si="1672"/>
        <v>0.28405096708428701</v>
      </c>
      <c r="I1587" s="1">
        <f t="shared" si="1672"/>
        <v>0.28405096708428679</v>
      </c>
      <c r="J1587" s="1" t="str">
        <f t="shared" si="1672"/>
        <v>-</v>
      </c>
      <c r="K1587" s="1" t="str">
        <f t="shared" si="1672"/>
        <v>-</v>
      </c>
      <c r="L1587" s="1" t="str">
        <f t="shared" ref="L1587" si="1673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674">IFERROR(G1578/G1558,"-")</f>
        <v>0.35122961215622034</v>
      </c>
      <c r="H1588" s="1">
        <f t="shared" si="1674"/>
        <v>0.35122961215622106</v>
      </c>
      <c r="I1588" s="1">
        <f t="shared" si="1674"/>
        <v>0.35122961215622095</v>
      </c>
      <c r="J1588" s="1">
        <f t="shared" si="1674"/>
        <v>0.35122961215622106</v>
      </c>
      <c r="K1588" s="1">
        <f t="shared" si="1674"/>
        <v>0.35122961215622078</v>
      </c>
      <c r="L1588" s="1" t="str">
        <f t="shared" ref="L1588" si="1675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676">IFERROR(G1579/G1564,"-")</f>
        <v>0.26793746277611213</v>
      </c>
      <c r="H1589" s="1">
        <f t="shared" si="1676"/>
        <v>0.28128870255135002</v>
      </c>
      <c r="I1589" s="1">
        <f t="shared" si="1676"/>
        <v>0.28128870255134991</v>
      </c>
      <c r="J1589" s="1" t="str">
        <f t="shared" si="1676"/>
        <v>-</v>
      </c>
      <c r="K1589" s="1" t="str">
        <f t="shared" si="1676"/>
        <v>-</v>
      </c>
      <c r="L1589" s="1" t="str">
        <f t="shared" ref="L1589" si="1677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678">IFERROR(G1580/G1565,"-")</f>
        <v>0.34211451343153226</v>
      </c>
      <c r="H1590" s="1">
        <f t="shared" si="1678"/>
        <v>0.3421145134315321</v>
      </c>
      <c r="I1590" s="1">
        <f t="shared" si="1678"/>
        <v>0.34211451343153099</v>
      </c>
      <c r="J1590" s="1">
        <f t="shared" si="1678"/>
        <v>0.34211451343153199</v>
      </c>
      <c r="K1590" s="1">
        <f t="shared" si="1678"/>
        <v>0.34211451343153215</v>
      </c>
      <c r="L1590" s="1" t="str">
        <f t="shared" ref="L1590" si="1679">IFERROR(L1580/L1565,"-")</f>
        <v>-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80">IFERROR(G1581/G1566,"-")</f>
        <v>0.46076759264650791</v>
      </c>
      <c r="H1591" s="1">
        <f t="shared" si="1680"/>
        <v>0.46076759264650774</v>
      </c>
      <c r="I1591" s="1">
        <f t="shared" si="1680"/>
        <v>0.46076759264650774</v>
      </c>
      <c r="J1591" s="1">
        <f t="shared" si="1680"/>
        <v>0.46076759264650807</v>
      </c>
      <c r="K1591" s="1">
        <f t="shared" si="1680"/>
        <v>0.46076759264650852</v>
      </c>
      <c r="L1591" s="1" t="str">
        <f t="shared" ref="L1591" si="1681">IFERROR(L1581/L1566,"-")</f>
        <v>-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682">IFERROR(G1582/G1572,"-")</f>
        <v>0.3205769274351804</v>
      </c>
      <c r="H1592" s="1">
        <f t="shared" si="1682"/>
        <v>0.32057692743517985</v>
      </c>
      <c r="I1592" s="1">
        <f t="shared" si="1682"/>
        <v>0.3205769274351804</v>
      </c>
      <c r="J1592" s="1">
        <f t="shared" si="1682"/>
        <v>0.32057692743518029</v>
      </c>
      <c r="K1592" s="1">
        <f t="shared" si="1682"/>
        <v>0.32057692743517979</v>
      </c>
      <c r="L1592" s="1" t="str">
        <f t="shared" ref="L1592" si="1683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24.512433268418597</v>
      </c>
      <c r="G1593" s="3">
        <f t="shared" ref="G1593" si="1684">G1594+G1597+G1599+G1606+G1614</f>
        <v>22.488679283423398</v>
      </c>
      <c r="H1593" s="3">
        <f t="shared" ref="H1593" si="1685">H1594+H1597+H1599+H1606+H1614</f>
        <v>20.358146048586583</v>
      </c>
      <c r="I1593" s="3">
        <f t="shared" ref="I1593" si="1686">I1594+I1597+I1599+I1606+I1614</f>
        <v>16.583015418065116</v>
      </c>
      <c r="J1593" s="3">
        <f t="shared" ref="J1593" si="1687">J1594+J1597+J1599+J1606+J1614</f>
        <v>13.496252172591664</v>
      </c>
      <c r="K1593" s="3">
        <f t="shared" ref="K1593:L1593" si="1688">K1594+K1597+K1599+K1606+K1614</f>
        <v>12.992485112840187</v>
      </c>
      <c r="L1593" s="3">
        <f t="shared" si="1688"/>
        <v>8.2327435825916542</v>
      </c>
      <c r="N1593" s="1"/>
    </row>
    <row r="1594" spans="2:14" x14ac:dyDescent="0.35">
      <c r="B1594" t="str">
        <f t="shared" ref="B1594:B1639" si="1689">B1593</f>
        <v>SPS1</v>
      </c>
      <c r="C1594" t="str">
        <f t="shared" ref="C1594:C1639" si="1690">C1593</f>
        <v>CH</v>
      </c>
      <c r="D1594" t="s">
        <v>1597</v>
      </c>
      <c r="E1594" t="str">
        <f>E1593</f>
        <v>PJ/yr.</v>
      </c>
      <c r="F1594" s="1">
        <f>SUM(F1595:F1596)</f>
        <v>1.0101925113884263E-2</v>
      </c>
      <c r="G1594" s="1">
        <f t="shared" ref="G1594" si="1691">SUM(G1595:G1596)</f>
        <v>2.5542473404346608E-2</v>
      </c>
      <c r="H1594" s="1">
        <f t="shared" ref="H1594" si="1692">SUM(H1595:H1596)</f>
        <v>2.5462091461601909E-2</v>
      </c>
      <c r="I1594" s="1">
        <f t="shared" ref="I1594" si="1693">SUM(I1595:I1596)</f>
        <v>7.5730667997680346E-3</v>
      </c>
      <c r="J1594" s="1">
        <f t="shared" ref="J1594" si="1694">SUM(J1595:J1596)</f>
        <v>1.4556998660379421</v>
      </c>
      <c r="K1594" s="1">
        <f t="shared" ref="K1594:L1594" si="1695">SUM(K1595:K1596)</f>
        <v>2.5890789907153064</v>
      </c>
      <c r="L1594" s="1">
        <f t="shared" si="1695"/>
        <v>7.7648057437175542</v>
      </c>
      <c r="N1594" s="1"/>
    </row>
    <row r="1595" spans="2:14" x14ac:dyDescent="0.35">
      <c r="B1595" t="str">
        <f t="shared" si="1689"/>
        <v>SPS1</v>
      </c>
      <c r="C1595" t="str">
        <f t="shared" si="1690"/>
        <v>CH</v>
      </c>
      <c r="D1595" t="s">
        <v>1598</v>
      </c>
      <c r="E1595" t="str">
        <f t="shared" ref="E1595:E1619" si="1696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9"/>
        <v>SPS1</v>
      </c>
      <c r="C1596" t="str">
        <f t="shared" si="1690"/>
        <v>CH</v>
      </c>
      <c r="D1596" t="s">
        <v>1599</v>
      </c>
      <c r="E1596" t="str">
        <f t="shared" si="1696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1.0101925113884263E-2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2.5542473404346608E-2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2.5462091461601909E-2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7.5730667997680346E-3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1.4556998660379421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2.5890789907153064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7.7648057437175542</v>
      </c>
      <c r="N1596" s="1"/>
    </row>
    <row r="1597" spans="2:14" x14ac:dyDescent="0.35">
      <c r="B1597" t="str">
        <f t="shared" si="1689"/>
        <v>SPS1</v>
      </c>
      <c r="C1597" t="str">
        <f t="shared" si="1690"/>
        <v>CH</v>
      </c>
      <c r="D1597" t="s">
        <v>1600</v>
      </c>
      <c r="E1597" t="str">
        <f t="shared" si="1696"/>
        <v>PJ/yr.</v>
      </c>
      <c r="F1597" s="1">
        <f>F1598</f>
        <v>2.6331803663188322E-3</v>
      </c>
      <c r="G1597" s="1">
        <f t="shared" ref="G1597" si="1697">G1598</f>
        <v>1.3536172506721249E-3</v>
      </c>
      <c r="H1597" s="1">
        <f t="shared" ref="H1597" si="1698">H1598</f>
        <v>1.3359278382005916E-3</v>
      </c>
      <c r="I1597" s="1">
        <f t="shared" ref="I1597" si="1699">I1598</f>
        <v>7.6598458000869598E-5</v>
      </c>
      <c r="J1597" s="1">
        <f t="shared" ref="J1597" si="1700">J1598</f>
        <v>7.5453989711843578E-5</v>
      </c>
      <c r="K1597" s="1">
        <f t="shared" ref="K1597:L1597" si="1701">K1598</f>
        <v>7.025904361853594E-5</v>
      </c>
      <c r="L1597" s="1">
        <f t="shared" si="1701"/>
        <v>5.9624346437391534E-5</v>
      </c>
      <c r="N1597" s="1"/>
    </row>
    <row r="1598" spans="2:14" x14ac:dyDescent="0.35">
      <c r="B1598" t="str">
        <f t="shared" si="1689"/>
        <v>SPS1</v>
      </c>
      <c r="C1598" t="str">
        <f t="shared" si="1690"/>
        <v>CH</v>
      </c>
      <c r="D1598" t="s">
        <v>1601</v>
      </c>
      <c r="E1598" t="str">
        <f t="shared" si="1696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2.6331803663188322E-3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1.3536172506721249E-3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1.3359278382005916E-3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7.6598458000869598E-5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7.5453989711843578E-5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7.025904361853594E-5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5.9624346437391534E-5</v>
      </c>
      <c r="N1598" s="1"/>
    </row>
    <row r="1599" spans="2:14" x14ac:dyDescent="0.35">
      <c r="B1599" t="str">
        <f t="shared" si="1689"/>
        <v>SPS1</v>
      </c>
      <c r="C1599" t="str">
        <f t="shared" si="1690"/>
        <v>CH</v>
      </c>
      <c r="D1599" t="s">
        <v>1602</v>
      </c>
      <c r="E1599" t="str">
        <f t="shared" si="1696"/>
        <v>PJ/yr.</v>
      </c>
      <c r="F1599" s="1">
        <f>SUM(F1604:F1605)</f>
        <v>0</v>
      </c>
      <c r="G1599" s="1">
        <f t="shared" ref="G1599:K1599" si="1702">SUM(G1604:G1605)</f>
        <v>0</v>
      </c>
      <c r="H1599" s="1">
        <f t="shared" si="1702"/>
        <v>0</v>
      </c>
      <c r="I1599" s="1">
        <f t="shared" si="1702"/>
        <v>0</v>
      </c>
      <c r="J1599" s="1">
        <f t="shared" si="1702"/>
        <v>0</v>
      </c>
      <c r="K1599" s="1">
        <f t="shared" si="1702"/>
        <v>0</v>
      </c>
      <c r="L1599" s="1">
        <f t="shared" ref="L1599" si="1703">SUM(L1604:L1605)</f>
        <v>0</v>
      </c>
      <c r="N1599" s="1"/>
    </row>
    <row r="1600" spans="2:14" x14ac:dyDescent="0.35">
      <c r="B1600" t="str">
        <f t="shared" si="1689"/>
        <v>SPS1</v>
      </c>
      <c r="C1600" t="str">
        <f t="shared" si="1690"/>
        <v>CH</v>
      </c>
      <c r="D1600" t="s">
        <v>1603</v>
      </c>
      <c r="E1600" t="str">
        <f t="shared" si="1696"/>
        <v>PJ/yr.</v>
      </c>
      <c r="F1600" s="1">
        <f>F1599-F1601</f>
        <v>0</v>
      </c>
      <c r="G1600" s="1">
        <f t="shared" ref="G1600:K1600" si="1704">G1599-G1601</f>
        <v>0</v>
      </c>
      <c r="H1600" s="1">
        <f t="shared" si="1704"/>
        <v>0</v>
      </c>
      <c r="I1600" s="1">
        <f t="shared" si="1704"/>
        <v>0</v>
      </c>
      <c r="J1600" s="1">
        <f t="shared" si="1704"/>
        <v>0</v>
      </c>
      <c r="K1600" s="1">
        <f t="shared" si="1704"/>
        <v>0</v>
      </c>
      <c r="L1600" s="1">
        <f t="shared" ref="L1600" si="1705">L1599-L1601</f>
        <v>0</v>
      </c>
      <c r="N1600" s="1"/>
    </row>
    <row r="1601" spans="2:14" x14ac:dyDescent="0.35">
      <c r="B1601" t="str">
        <f t="shared" si="1689"/>
        <v>SPS1</v>
      </c>
      <c r="C1601" t="str">
        <f t="shared" si="1690"/>
        <v>CH</v>
      </c>
      <c r="D1601" t="s">
        <v>1604</v>
      </c>
      <c r="E1601" t="str">
        <f t="shared" si="1696"/>
        <v>PJ/yr.</v>
      </c>
      <c r="F1601" s="1">
        <f>SUM(F1602:F1603)</f>
        <v>0</v>
      </c>
      <c r="G1601" s="1">
        <f t="shared" ref="G1601:K1601" si="1706">SUM(G1602:G1603)</f>
        <v>0</v>
      </c>
      <c r="H1601" s="1">
        <f t="shared" si="1706"/>
        <v>0</v>
      </c>
      <c r="I1601" s="1">
        <f t="shared" si="1706"/>
        <v>0</v>
      </c>
      <c r="J1601" s="1">
        <f t="shared" si="1706"/>
        <v>0</v>
      </c>
      <c r="K1601" s="1">
        <f t="shared" si="1706"/>
        <v>0</v>
      </c>
      <c r="L1601" s="1">
        <f t="shared" ref="L1601" si="1707">SUM(L1602:L1603)</f>
        <v>0</v>
      </c>
      <c r="N1601" s="1"/>
    </row>
    <row r="1602" spans="2:14" x14ac:dyDescent="0.35">
      <c r="B1602" t="str">
        <f t="shared" si="1689"/>
        <v>SPS1</v>
      </c>
      <c r="C1602" t="str">
        <f t="shared" si="1690"/>
        <v>CH</v>
      </c>
      <c r="D1602" t="s">
        <v>1605</v>
      </c>
      <c r="E1602" t="str">
        <f t="shared" si="1696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9"/>
        <v>SPS1</v>
      </c>
      <c r="C1603" t="str">
        <f t="shared" si="1690"/>
        <v>CH</v>
      </c>
      <c r="D1603" t="s">
        <v>1606</v>
      </c>
      <c r="E1603" t="str">
        <f t="shared" si="1696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9"/>
        <v>SPS1</v>
      </c>
      <c r="C1604" t="str">
        <f t="shared" si="1690"/>
        <v>CH</v>
      </c>
      <c r="D1604" t="s">
        <v>1607</v>
      </c>
      <c r="E1604" t="str">
        <f t="shared" si="1696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9"/>
        <v>SPS1</v>
      </c>
      <c r="C1605" t="str">
        <f t="shared" si="1690"/>
        <v>CH</v>
      </c>
      <c r="D1605" t="s">
        <v>1608</v>
      </c>
      <c r="E1605" t="str">
        <f t="shared" si="1696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9"/>
        <v>SPS1</v>
      </c>
      <c r="C1606" t="str">
        <f t="shared" si="1690"/>
        <v>CH</v>
      </c>
      <c r="D1606" t="s">
        <v>1609</v>
      </c>
      <c r="E1606" t="str">
        <f t="shared" si="1696"/>
        <v>PJ/yr.</v>
      </c>
      <c r="F1606" s="1">
        <f>SUM(F1611:F1613)</f>
        <v>24.437314433718512</v>
      </c>
      <c r="G1606" s="1">
        <f t="shared" ref="G1606:K1606" si="1708">SUM(G1611:G1613)</f>
        <v>22.453057739713707</v>
      </c>
      <c r="H1606" s="1">
        <f t="shared" si="1708"/>
        <v>20.319811236183753</v>
      </c>
      <c r="I1606" s="1">
        <f t="shared" si="1708"/>
        <v>16.564287189036058</v>
      </c>
      <c r="J1606" s="1">
        <f t="shared" si="1708"/>
        <v>12.033796213462683</v>
      </c>
      <c r="K1606" s="1">
        <f t="shared" si="1708"/>
        <v>10.396745836537605</v>
      </c>
      <c r="L1606" s="1">
        <f t="shared" ref="L1606" si="1709">SUM(L1611:L1613)</f>
        <v>0.46745132755714264</v>
      </c>
      <c r="N1606" s="1"/>
    </row>
    <row r="1607" spans="2:14" x14ac:dyDescent="0.35">
      <c r="B1607" t="str">
        <f t="shared" si="1689"/>
        <v>SPS1</v>
      </c>
      <c r="C1607" t="str">
        <f t="shared" si="1690"/>
        <v>CH</v>
      </c>
      <c r="D1607" t="s">
        <v>1610</v>
      </c>
      <c r="E1607" t="str">
        <f t="shared" si="1696"/>
        <v>PJ/yr.</v>
      </c>
      <c r="F1607" s="1">
        <f>IF(F1606-F1608&lt;0,0,F1606-F1608)</f>
        <v>23.82822857434078</v>
      </c>
      <c r="G1607" s="1">
        <f t="shared" ref="G1607:L1607" si="1710">IF(G1606-G1608&lt;0,0,G1606-G1608)</f>
        <v>21.867834345647662</v>
      </c>
      <c r="H1607" s="1">
        <f t="shared" si="1710"/>
        <v>19.408001767358385</v>
      </c>
      <c r="I1607" s="1">
        <f t="shared" si="1710"/>
        <v>15.822022401030344</v>
      </c>
      <c r="J1607" s="1">
        <f t="shared" si="1710"/>
        <v>11.128828051776003</v>
      </c>
      <c r="K1607" s="1">
        <f t="shared" si="1710"/>
        <v>9.3793476673180116</v>
      </c>
      <c r="L1607" s="1">
        <f t="shared" si="1710"/>
        <v>0</v>
      </c>
      <c r="N1607" s="1"/>
    </row>
    <row r="1608" spans="2:14" x14ac:dyDescent="0.35">
      <c r="B1608" t="str">
        <f t="shared" si="1689"/>
        <v>SPS1</v>
      </c>
      <c r="C1608" t="str">
        <f t="shared" si="1690"/>
        <v>CH</v>
      </c>
      <c r="D1608" t="s">
        <v>1611</v>
      </c>
      <c r="E1608" t="str">
        <f t="shared" si="1696"/>
        <v>PJ/yr.</v>
      </c>
      <c r="F1608" s="1">
        <f>SUM(F1609:F1610)</f>
        <v>0.60908585937773319</v>
      </c>
      <c r="G1608" s="1">
        <f t="shared" ref="G1608:K1608" si="1711">SUM(G1609:G1610)</f>
        <v>0.58522339406604351</v>
      </c>
      <c r="H1608" s="1">
        <f t="shared" si="1711"/>
        <v>0.91180946882536695</v>
      </c>
      <c r="I1608" s="1">
        <f t="shared" si="1711"/>
        <v>0.74226478800571505</v>
      </c>
      <c r="J1608" s="1">
        <f t="shared" si="1711"/>
        <v>0.9049681616866796</v>
      </c>
      <c r="K1608" s="1">
        <f t="shared" si="1711"/>
        <v>1.0173981692195939</v>
      </c>
      <c r="L1608" s="1">
        <f t="shared" ref="L1608" si="1712">SUM(L1609:L1610)</f>
        <v>0.46759565525548102</v>
      </c>
      <c r="N1608" s="1"/>
    </row>
    <row r="1609" spans="2:14" x14ac:dyDescent="0.35">
      <c r="B1609" t="str">
        <f t="shared" si="1689"/>
        <v>SPS1</v>
      </c>
      <c r="C1609" t="str">
        <f t="shared" si="1690"/>
        <v>CH</v>
      </c>
      <c r="D1609" t="s">
        <v>1612</v>
      </c>
      <c r="E1609" t="str">
        <f t="shared" si="1696"/>
        <v>PJ/yr.</v>
      </c>
      <c r="F1609" s="1">
        <f>[1]Transport!B$26/SUM([1]Transport!B$22,[1]Transport!B$26)*F1606*(F$34+F$582)/(F$34+F$582+F$38)</f>
        <v>0.60908585937773319</v>
      </c>
      <c r="G1609" s="1">
        <f>[1]Transport!C$26/SUM([1]Transport!C$22,[1]Transport!C$26)*G1606*(G$34+G$582)/(G$34+G$582+G$38)</f>
        <v>0.58522339406604351</v>
      </c>
      <c r="H1609" s="1">
        <f>[1]Transport!D$26/SUM([1]Transport!D$22,[1]Transport!D$26)*H1606*(H$34+H$582)/(H$34+H$582+H$38)</f>
        <v>0.91180946882536695</v>
      </c>
      <c r="I1609" s="1">
        <f>[1]Transport!E$26/SUM([1]Transport!E$22,[1]Transport!E$26)*I1606*(I$34+I$582)/(I$34+I$582+I$38)</f>
        <v>0.74226478800571505</v>
      </c>
      <c r="J1609" s="1">
        <f>[2]Transport!F$26/SUM([2]Transport!F$22,[2]Transport!F$26)*J1606*(J$34+J$582)/(J$34+J$582+J$38)</f>
        <v>0.9049681616866796</v>
      </c>
      <c r="K1609" s="1">
        <f>[2]Transport!G$26/SUM([2]Transport!G$22,[2]Transport!G$26)*K1606*(K$34+K$582)/(K$34+K$582+K$38)</f>
        <v>1.0170970502524206</v>
      </c>
      <c r="L1609" s="1">
        <f>[2]Transport!H$26/SUM([2]Transport!H$22,[2]Transport!H$26)*L1606*(L$34+L$582)/(L$34+L$582+L$38)</f>
        <v>0.45777484212221636</v>
      </c>
      <c r="N1609" s="1"/>
    </row>
    <row r="1610" spans="2:14" x14ac:dyDescent="0.35">
      <c r="B1610" t="str">
        <f t="shared" si="1689"/>
        <v>SPS1</v>
      </c>
      <c r="C1610" t="str">
        <f t="shared" si="1690"/>
        <v>CH</v>
      </c>
      <c r="D1610" t="s">
        <v>1613</v>
      </c>
      <c r="E1610" t="str">
        <f t="shared" si="1696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3.0111896717327123E-4</v>
      </c>
      <c r="L1610" s="1">
        <f>(L$38+L$718)/([2]Transport!H$22+[2]Transport!H$26)*L1606</f>
        <v>9.8208131332646505E-3</v>
      </c>
      <c r="N1610" s="1"/>
    </row>
    <row r="1611" spans="2:14" x14ac:dyDescent="0.35">
      <c r="B1611" t="str">
        <f t="shared" si="1689"/>
        <v>SPS1</v>
      </c>
      <c r="C1611" t="str">
        <f t="shared" si="1690"/>
        <v>CH</v>
      </c>
      <c r="D1611" t="s">
        <v>1614</v>
      </c>
      <c r="E1611" t="str">
        <f t="shared" si="1696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19.238107127755782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15.561377216070127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11.480567549478364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4.9484956444380002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9"/>
        <v>SPS1</v>
      </c>
      <c r="C1612" t="str">
        <f t="shared" si="1690"/>
        <v>CH</v>
      </c>
      <c r="D1612" t="s">
        <v>1615</v>
      </c>
      <c r="E1612" t="str">
        <f t="shared" si="1696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5.1992073059627311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4.8111454188555083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4.3441829357742519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0.44092659020453545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6.1347473928017194E-4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7.4424446292147223E-4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7.7521690553331577E-5</v>
      </c>
      <c r="N1612" s="1"/>
    </row>
    <row r="1613" spans="2:14" x14ac:dyDescent="0.35">
      <c r="B1613" t="str">
        <f t="shared" si="1689"/>
        <v>SPS1</v>
      </c>
      <c r="C1613" t="str">
        <f t="shared" si="1690"/>
        <v>CH</v>
      </c>
      <c r="D1613" t="s">
        <v>1616</v>
      </c>
      <c r="E1613" t="str">
        <f t="shared" si="1696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2.08053510478807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4.4950607509311364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11.174864954393522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12.033182738723402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10.396001592074683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0.46737380586658933</v>
      </c>
      <c r="N1613" s="1"/>
    </row>
    <row r="1614" spans="2:14" x14ac:dyDescent="0.35">
      <c r="B1614" t="str">
        <f t="shared" si="1689"/>
        <v>SPS1</v>
      </c>
      <c r="C1614" t="str">
        <f t="shared" si="1690"/>
        <v>CH</v>
      </c>
      <c r="D1614" t="s">
        <v>1617</v>
      </c>
      <c r="E1614" t="str">
        <f t="shared" si="1696"/>
        <v>PJ/yr.</v>
      </c>
      <c r="F1614" s="1">
        <f>F1619</f>
        <v>6.2383729219880307E-2</v>
      </c>
      <c r="G1614" s="1">
        <f t="shared" ref="G1614:K1614" si="1713">G1619</f>
        <v>8.7254530546741395E-3</v>
      </c>
      <c r="H1614" s="1">
        <f t="shared" si="1713"/>
        <v>1.1536793103027073E-2</v>
      </c>
      <c r="I1614" s="1">
        <f t="shared" si="1713"/>
        <v>1.1078563771288238E-2</v>
      </c>
      <c r="J1614" s="1">
        <f t="shared" si="1713"/>
        <v>6.6806391013276402E-3</v>
      </c>
      <c r="K1614" s="1">
        <f t="shared" si="1713"/>
        <v>6.590026543657204E-3</v>
      </c>
      <c r="L1614" s="1">
        <f t="shared" ref="L1614" si="1714">L1619</f>
        <v>4.2688697052043281E-4</v>
      </c>
      <c r="N1614" s="1"/>
    </row>
    <row r="1615" spans="2:14" x14ac:dyDescent="0.35">
      <c r="B1615" t="str">
        <f t="shared" si="1689"/>
        <v>SPS1</v>
      </c>
      <c r="C1615" t="str">
        <f t="shared" si="1690"/>
        <v>CH</v>
      </c>
      <c r="D1615" t="s">
        <v>1618</v>
      </c>
      <c r="E1615" t="str">
        <f t="shared" si="1696"/>
        <v>PJ/yr.</v>
      </c>
      <c r="F1615" s="1">
        <f>IF(F1614-F1616&lt;0,0,F1614-F1616)</f>
        <v>5.7675654212526489E-2</v>
      </c>
      <c r="G1615" s="1">
        <f t="shared" ref="G1615:L1615" si="1715">IF(G1614-G1616&lt;0,0,G1614-G1616)</f>
        <v>7.8902205838396848E-3</v>
      </c>
      <c r="H1615" s="1">
        <f t="shared" si="1715"/>
        <v>1.1419921151862182E-2</v>
      </c>
      <c r="I1615" s="1">
        <f t="shared" si="1715"/>
        <v>1.0842558178748034E-2</v>
      </c>
      <c r="J1615" s="1">
        <f t="shared" si="1715"/>
        <v>0</v>
      </c>
      <c r="K1615" s="1">
        <f t="shared" si="1715"/>
        <v>0</v>
      </c>
      <c r="L1615" s="1">
        <f t="shared" si="1715"/>
        <v>0</v>
      </c>
      <c r="N1615" s="1"/>
    </row>
    <row r="1616" spans="2:14" x14ac:dyDescent="0.35">
      <c r="B1616" t="str">
        <f t="shared" si="1689"/>
        <v>SPS1</v>
      </c>
      <c r="C1616" t="str">
        <f t="shared" si="1690"/>
        <v>CH</v>
      </c>
      <c r="D1616" t="s">
        <v>1619</v>
      </c>
      <c r="E1616" t="str">
        <f t="shared" si="1696"/>
        <v>PJ/yr.</v>
      </c>
      <c r="F1616" s="1">
        <f>SUM(F1617:F1618)</f>
        <v>4.7080750073538189E-3</v>
      </c>
      <c r="G1616" s="1">
        <f t="shared" ref="G1616:K1616" si="1716">SUM(G1617:G1618)</f>
        <v>8.3523247083445496E-4</v>
      </c>
      <c r="H1616" s="1">
        <f t="shared" si="1716"/>
        <v>1.1687195116489091E-4</v>
      </c>
      <c r="I1616" s="1">
        <f t="shared" si="1716"/>
        <v>2.3600559254020309E-4</v>
      </c>
      <c r="J1616" s="1">
        <f t="shared" si="1716"/>
        <v>6.7397447133566183E-3</v>
      </c>
      <c r="K1616" s="1">
        <f t="shared" si="1716"/>
        <v>7.4751579238610472E-3</v>
      </c>
      <c r="L1616" s="1">
        <f t="shared" ref="L1616" si="1717">SUM(L1617:L1618)</f>
        <v>6.2302607911215947E-4</v>
      </c>
      <c r="N1616" s="1"/>
    </row>
    <row r="1617" spans="2:14" x14ac:dyDescent="0.35">
      <c r="B1617" t="str">
        <f t="shared" si="1689"/>
        <v>SPS1</v>
      </c>
      <c r="C1617" t="str">
        <f t="shared" si="1690"/>
        <v>CH</v>
      </c>
      <c r="D1617" t="s">
        <v>1620</v>
      </c>
      <c r="E1617" t="str">
        <f t="shared" si="1696"/>
        <v>PJ/yr.</v>
      </c>
      <c r="F1617" s="1">
        <f>[1]Transport!B$27/SUM([1]Transport!B$24,[1]Transport!B$27)*F1614*(F$47+F$614)/(F$47+F$614+F$49)</f>
        <v>4.7080750073538189E-3</v>
      </c>
      <c r="G1617" s="1">
        <f>[1]Transport!C$27/SUM([1]Transport!C$24,[1]Transport!C$27)*G1614*(G$47+G$614)/(G$47+G$614+G$49)</f>
        <v>8.3523247083445496E-4</v>
      </c>
      <c r="H1617" s="1">
        <f>[1]Transport!D$27/SUM([1]Transport!D$24,[1]Transport!D$27)*H1614*(H$47+H$614)/(H$47+H$614+H$49)</f>
        <v>1.1687195116489091E-4</v>
      </c>
      <c r="I1617" s="1">
        <f>[1]Transport!E$27/SUM([1]Transport!E$24,[1]Transport!E$27)*I1614*(I$47+I$614)/(I$47+I$614+I$49)</f>
        <v>2.3600559254020309E-4</v>
      </c>
      <c r="J1617" s="1">
        <f>[2]Transport!F$27/SUM([2]Transport!F$24,[2]Transport!F$27)*J1614*(J$47+J$614)/(J$47+J$614+J$49)</f>
        <v>5.9105612028978513E-5</v>
      </c>
      <c r="K1617" s="1">
        <f>[2]Transport!G$27/SUM([2]Transport!G$24,[2]Transport!G$27)*K1614*(K$47+K$614)/(K$47+K$614+K$49)</f>
        <v>8.8513138020384296E-4</v>
      </c>
      <c r="L1617" s="1">
        <f>[2]Transport!H$27/SUM([2]Transport!H$24,[2]Transport!H$27)*L1614*(L$47+L$614)/(L$47+L$614+L$49)</f>
        <v>1.9613910859172666E-4</v>
      </c>
      <c r="N1617" s="1"/>
    </row>
    <row r="1618" spans="2:14" x14ac:dyDescent="0.35">
      <c r="B1618" t="str">
        <f t="shared" si="1689"/>
        <v>SPS1</v>
      </c>
      <c r="C1618" t="str">
        <f t="shared" si="1690"/>
        <v>CH</v>
      </c>
      <c r="D1618" t="s">
        <v>1621</v>
      </c>
      <c r="E1618" t="str">
        <f t="shared" si="1696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6.6806391013276402E-3</v>
      </c>
      <c r="K1618" s="1">
        <f>IF((K$49+K$716)/([2]Transport!G$24+[2]Transport!G$27)*K1614&gt;K1614,K1614,(K$49+K$716)/([2]Transport!G$24+[2]Transport!G$27)*K1614)</f>
        <v>6.590026543657204E-3</v>
      </c>
      <c r="L1618" s="1">
        <f>IF((L$49+L$716)/([2]Transport!H$24+[2]Transport!H$27)*L1614&gt;L1614,L1614,(L$49+L$716)/([2]Transport!H$24+[2]Transport!H$27)*L1614)</f>
        <v>4.2688697052043281E-4</v>
      </c>
      <c r="N1618" s="1"/>
    </row>
    <row r="1619" spans="2:14" x14ac:dyDescent="0.35">
      <c r="B1619" t="str">
        <f t="shared" si="1689"/>
        <v>SPS1</v>
      </c>
      <c r="C1619" t="str">
        <f t="shared" si="1690"/>
        <v>CH</v>
      </c>
      <c r="D1619" t="s">
        <v>1622</v>
      </c>
      <c r="E1619" t="str">
        <f t="shared" si="1696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6.2383729219880307E-2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8.7254530546741395E-3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1.1536793103027073E-2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1.1078563771288238E-2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6.6806391013276402E-3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6.590026543657204E-3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4.2688697052043281E-4</v>
      </c>
      <c r="N1619" s="1"/>
    </row>
    <row r="1620" spans="2:14" x14ac:dyDescent="0.35">
      <c r="B1620" s="2" t="str">
        <f t="shared" si="1689"/>
        <v>SPS1</v>
      </c>
      <c r="C1620" s="2" t="str">
        <f t="shared" si="1690"/>
        <v>CH</v>
      </c>
      <c r="D1620" s="2" t="s">
        <v>1623</v>
      </c>
      <c r="E1620" s="2" t="s">
        <v>1517</v>
      </c>
      <c r="F1620" s="3">
        <f>SUM(F1621:F1629)</f>
        <v>2.2034110343353177</v>
      </c>
      <c r="G1620" s="3">
        <f t="shared" ref="G1620" si="1718">SUM(G1621:G1629)</f>
        <v>2.2263462936958058</v>
      </c>
      <c r="H1620" s="3">
        <f t="shared" ref="H1620" si="1719">SUM(H1621:H1629)</f>
        <v>2.2583024919922239</v>
      </c>
      <c r="I1620" s="3">
        <f t="shared" ref="I1620" si="1720">SUM(I1621:I1629)</f>
        <v>2.3131917467553942</v>
      </c>
      <c r="J1620" s="3">
        <f t="shared" ref="J1620" si="1721">SUM(J1621:J1629)</f>
        <v>2.411783359909291</v>
      </c>
      <c r="K1620" s="3">
        <f t="shared" ref="K1620:L1620" si="1722">SUM(K1621:K1629)</f>
        <v>2.510101918370911</v>
      </c>
      <c r="L1620" s="3">
        <f t="shared" si="1722"/>
        <v>2.7074007961199298</v>
      </c>
      <c r="N1620" s="1"/>
    </row>
    <row r="1621" spans="2:14" x14ac:dyDescent="0.35">
      <c r="B1621" t="str">
        <f t="shared" si="1689"/>
        <v>SPS1</v>
      </c>
      <c r="C1621" t="str">
        <f t="shared" si="1690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9"/>
        <v>SPS1</v>
      </c>
      <c r="C1622" t="str">
        <f t="shared" si="1690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2.7146677496205111E-3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6.9090383894085386E-3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6.906487892976567E-3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2.087337831875554E-3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0.44389868893760798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0.80981762273365598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2.6309268341971257</v>
      </c>
      <c r="N1622" s="1"/>
    </row>
    <row r="1623" spans="2:14" x14ac:dyDescent="0.35">
      <c r="B1623" t="str">
        <f t="shared" si="1689"/>
        <v>SPS1</v>
      </c>
      <c r="C1623" t="str">
        <f t="shared" si="1690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4.593813058627612E-4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2.3704238001779907E-4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2.3411853880966584E-4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1.3774313251527413E-5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1.4660502338815928E-5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1.4032846288335494E-5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1.296092271670445E-5</v>
      </c>
      <c r="N1623" s="1"/>
    </row>
    <row r="1624" spans="2:14" x14ac:dyDescent="0.35">
      <c r="B1624" t="str">
        <f t="shared" si="1689"/>
        <v>SPS1</v>
      </c>
      <c r="C1624" t="str">
        <f t="shared" si="1690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9"/>
        <v>SPS1</v>
      </c>
      <c r="C1625" t="str">
        <f t="shared" si="1690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9"/>
        <v>SPS1</v>
      </c>
      <c r="C1626" t="str">
        <f t="shared" si="1690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1.5766333265990586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1.3070967181107647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0.99949859811602704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0.43081619772567536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9"/>
        <v>SPS1</v>
      </c>
      <c r="C1627" t="str">
        <f t="shared" si="1690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0.61716418222627045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0.57109987220442338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0.51566978410797859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5.2339536096841728E-2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7.2821607892054226E-5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8.83444337386943E-5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9.2020971543633636E-6</v>
      </c>
      <c r="N1627" s="1"/>
    </row>
    <row r="1628" spans="2:14" x14ac:dyDescent="0.35">
      <c r="B1628" t="str">
        <f t="shared" si="1689"/>
        <v>SPS1</v>
      </c>
      <c r="C1628" t="str">
        <f t="shared" si="1690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0.34009852425650411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0.73479343093840166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1.8267199967010901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1.9670265030041589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1.6994016546493338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7.6400124797492669E-2</v>
      </c>
      <c r="N1628" s="1"/>
    </row>
    <row r="1629" spans="2:14" x14ac:dyDescent="0.35">
      <c r="B1629" t="str">
        <f t="shared" si="1689"/>
        <v>SPS1</v>
      </c>
      <c r="C1629" t="str">
        <f t="shared" si="1690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6.4394764545055508E-3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9.0509835468721776E-4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1.2000723980306945E-3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1.2149040866596484E-3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7.7068585729325885E-4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7.8026370789388143E-4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5.1674105439849282E-5</v>
      </c>
      <c r="N1629" s="1"/>
    </row>
    <row r="1630" spans="2:14" x14ac:dyDescent="0.35">
      <c r="B1630" s="2" t="str">
        <f t="shared" si="1689"/>
        <v>SPS1</v>
      </c>
      <c r="C1630" s="2" t="str">
        <f t="shared" si="1690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9"/>
        <v>SPS1</v>
      </c>
      <c r="C1631" t="str">
        <f t="shared" si="1690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3">IFERROR(G1621/G1595,"-")</f>
        <v>-</v>
      </c>
      <c r="H1631" s="1" t="str">
        <f t="shared" si="1723"/>
        <v>-</v>
      </c>
      <c r="I1631" s="1" t="str">
        <f t="shared" si="1723"/>
        <v>-</v>
      </c>
      <c r="J1631" s="1" t="str">
        <f t="shared" si="1723"/>
        <v>-</v>
      </c>
      <c r="K1631" s="1" t="str">
        <f t="shared" si="1723"/>
        <v>-</v>
      </c>
      <c r="L1631" s="1" t="str">
        <f t="shared" ref="L1631" si="1724">IFERROR(L1621/L1595,"-")</f>
        <v>-</v>
      </c>
      <c r="N1631" s="1"/>
    </row>
    <row r="1632" spans="2:14" x14ac:dyDescent="0.35">
      <c r="B1632" t="str">
        <f t="shared" si="1689"/>
        <v>SPS1</v>
      </c>
      <c r="C1632" t="str">
        <f t="shared" si="1690"/>
        <v>CH</v>
      </c>
      <c r="D1632" t="s">
        <v>1635</v>
      </c>
      <c r="E1632" t="str">
        <f t="shared" ref="E1632:E1639" si="1725">E1631</f>
        <v>km/MJ</v>
      </c>
      <c r="F1632" s="1">
        <f>IFERROR(F1622/F1596,"-")</f>
        <v>0.26872776416540883</v>
      </c>
      <c r="G1632" s="1">
        <f t="shared" ref="G1632:K1632" si="1726">IFERROR(G1622/G1596,"-")</f>
        <v>0.27049214381222825</v>
      </c>
      <c r="H1632" s="1">
        <f t="shared" si="1726"/>
        <v>0.27124589915922231</v>
      </c>
      <c r="I1632" s="1">
        <f t="shared" si="1726"/>
        <v>0.27562649149476537</v>
      </c>
      <c r="J1632" s="1">
        <f t="shared" si="1726"/>
        <v>0.30493833192812697</v>
      </c>
      <c r="K1632" s="1">
        <f t="shared" si="1726"/>
        <v>0.3127821227694258</v>
      </c>
      <c r="L1632" s="1">
        <f t="shared" ref="L1632" si="1727">IFERROR(L1622/L1596,"-")</f>
        <v>0.33882712858924885</v>
      </c>
      <c r="N1632" s="1"/>
    </row>
    <row r="1633" spans="2:14" x14ac:dyDescent="0.35">
      <c r="B1633" t="str">
        <f t="shared" si="1689"/>
        <v>SPS1</v>
      </c>
      <c r="C1633" t="str">
        <f t="shared" si="1690"/>
        <v>CH</v>
      </c>
      <c r="D1633" t="s">
        <v>1636</v>
      </c>
      <c r="E1633" t="str">
        <f t="shared" si="1725"/>
        <v>km/MJ</v>
      </c>
      <c r="F1633" s="1">
        <f>IFERROR(F1623/F1598,"-")</f>
        <v>0.17445873125089911</v>
      </c>
      <c r="G1633" s="1">
        <f t="shared" ref="G1633:K1633" si="1728">IFERROR(G1623/G1598,"-")</f>
        <v>0.17511772984578772</v>
      </c>
      <c r="H1633" s="1">
        <f t="shared" si="1728"/>
        <v>0.17524789297377646</v>
      </c>
      <c r="I1633" s="1">
        <f t="shared" si="1728"/>
        <v>0.1798249417941421</v>
      </c>
      <c r="J1633" s="1">
        <f t="shared" si="1728"/>
        <v>0.19429724517953162</v>
      </c>
      <c r="K1633" s="1">
        <f t="shared" si="1728"/>
        <v>0.19973010683899073</v>
      </c>
      <c r="L1633" s="1">
        <f t="shared" ref="L1633" si="1729">IFERROR(L1623/L1598,"-")</f>
        <v>0.21737634860809837</v>
      </c>
      <c r="N1633" s="1"/>
    </row>
    <row r="1634" spans="2:14" x14ac:dyDescent="0.35">
      <c r="B1634" t="str">
        <f t="shared" si="1689"/>
        <v>SPS1</v>
      </c>
      <c r="C1634" t="str">
        <f t="shared" si="1690"/>
        <v>CH</v>
      </c>
      <c r="D1634" t="s">
        <v>1637</v>
      </c>
      <c r="E1634" t="str">
        <f t="shared" si="1725"/>
        <v>km/MJ</v>
      </c>
      <c r="F1634" s="1" t="str">
        <f>IFERROR(F1624/F1604,"-")</f>
        <v>-</v>
      </c>
      <c r="G1634" s="1" t="str">
        <f t="shared" ref="G1634:K1634" si="1730">IFERROR(G1624/G1604,"-")</f>
        <v>-</v>
      </c>
      <c r="H1634" s="1" t="str">
        <f t="shared" si="1730"/>
        <v>-</v>
      </c>
      <c r="I1634" s="1" t="str">
        <f t="shared" si="1730"/>
        <v>-</v>
      </c>
      <c r="J1634" s="1" t="str">
        <f t="shared" si="1730"/>
        <v>-</v>
      </c>
      <c r="K1634" s="1" t="str">
        <f t="shared" si="1730"/>
        <v>-</v>
      </c>
      <c r="L1634" s="1" t="str">
        <f t="shared" ref="L1634" si="1731">IFERROR(L1624/L1604,"-")</f>
        <v>-</v>
      </c>
      <c r="N1634" s="1"/>
    </row>
    <row r="1635" spans="2:14" x14ac:dyDescent="0.35">
      <c r="B1635" t="str">
        <f t="shared" si="1689"/>
        <v>SPS1</v>
      </c>
      <c r="C1635" t="str">
        <f t="shared" si="1690"/>
        <v>CH</v>
      </c>
      <c r="D1635" t="s">
        <v>1638</v>
      </c>
      <c r="E1635" t="str">
        <f t="shared" si="1725"/>
        <v>km/MJ</v>
      </c>
      <c r="F1635" s="1" t="str">
        <f>IFERROR(F1625/F1605,"-")</f>
        <v>-</v>
      </c>
      <c r="G1635" s="1" t="str">
        <f t="shared" ref="G1635:K1635" si="1732">IFERROR(G1625/G1605,"-")</f>
        <v>-</v>
      </c>
      <c r="H1635" s="1" t="str">
        <f t="shared" si="1732"/>
        <v>-</v>
      </c>
      <c r="I1635" s="1" t="str">
        <f t="shared" si="1732"/>
        <v>-</v>
      </c>
      <c r="J1635" s="1" t="str">
        <f t="shared" si="1732"/>
        <v>-</v>
      </c>
      <c r="K1635" s="1" t="str">
        <f t="shared" si="1732"/>
        <v>-</v>
      </c>
      <c r="L1635" s="1" t="str">
        <f t="shared" ref="L1635" si="1733">IFERROR(L1625/L1605,"-")</f>
        <v>-</v>
      </c>
      <c r="N1635" s="1"/>
    </row>
    <row r="1636" spans="2:14" x14ac:dyDescent="0.35">
      <c r="B1636" t="str">
        <f t="shared" si="1689"/>
        <v>SPS1</v>
      </c>
      <c r="C1636" t="str">
        <f t="shared" si="1690"/>
        <v>CH</v>
      </c>
      <c r="D1636" t="s">
        <v>1639</v>
      </c>
      <c r="E1636" t="str">
        <f t="shared" si="1725"/>
        <v>km/MJ</v>
      </c>
      <c r="F1636" s="1">
        <f>IFERROR(F1626/F1611,"-")</f>
        <v>8.1953661871669831E-2</v>
      </c>
      <c r="G1636" s="1">
        <f t="shared" ref="G1636:K1636" si="1734">IFERROR(G1626/G1611,"-")</f>
        <v>8.3996210615660344E-2</v>
      </c>
      <c r="H1636" s="1">
        <f t="shared" si="1734"/>
        <v>8.7060033731646017E-2</v>
      </c>
      <c r="I1636" s="1">
        <f t="shared" si="1734"/>
        <v>8.7060033731645947E-2</v>
      </c>
      <c r="J1636" s="1" t="str">
        <f t="shared" si="1734"/>
        <v>-</v>
      </c>
      <c r="K1636" s="1" t="str">
        <f t="shared" si="1734"/>
        <v>-</v>
      </c>
      <c r="L1636" s="1" t="str">
        <f t="shared" ref="L1636" si="1735">IFERROR(L1626/L1611,"-")</f>
        <v>-</v>
      </c>
      <c r="N1636" s="1"/>
    </row>
    <row r="1637" spans="2:14" x14ac:dyDescent="0.35">
      <c r="B1637" t="str">
        <f t="shared" si="1689"/>
        <v>SPS1</v>
      </c>
      <c r="C1637" t="str">
        <f t="shared" si="1690"/>
        <v>CH</v>
      </c>
      <c r="D1637" t="s">
        <v>1640</v>
      </c>
      <c r="E1637" t="str">
        <f t="shared" si="1725"/>
        <v>km/MJ</v>
      </c>
      <c r="F1637" s="1">
        <f>IFERROR(F1627/F1612,"-")</f>
        <v>0.11870351496053511</v>
      </c>
      <c r="G1637" s="1">
        <f t="shared" ref="G1637:K1637" si="1736">IFERROR(G1627/G1612,"-")</f>
        <v>0.11870351496053481</v>
      </c>
      <c r="H1637" s="1">
        <f t="shared" si="1736"/>
        <v>0.11870351496053473</v>
      </c>
      <c r="I1637" s="1">
        <f t="shared" si="1736"/>
        <v>0.11870351496053493</v>
      </c>
      <c r="J1637" s="1">
        <f t="shared" si="1736"/>
        <v>0.11870351496053505</v>
      </c>
      <c r="K1637" s="1">
        <f t="shared" si="1736"/>
        <v>0.11870351496053498</v>
      </c>
      <c r="L1637" s="1">
        <f t="shared" ref="L1637" si="1737">IFERROR(L1627/L1612,"-")</f>
        <v>0.11870351496053505</v>
      </c>
      <c r="N1637" s="1"/>
    </row>
    <row r="1638" spans="2:14" x14ac:dyDescent="0.35">
      <c r="B1638" t="str">
        <f t="shared" si="1689"/>
        <v>SPS1</v>
      </c>
      <c r="C1638" t="str">
        <f t="shared" si="1690"/>
        <v>CH</v>
      </c>
      <c r="D1638" t="s">
        <v>1641</v>
      </c>
      <c r="E1638" t="str">
        <f t="shared" si="1725"/>
        <v>km/MJ</v>
      </c>
      <c r="F1638" s="1" t="str">
        <f>IFERROR(F1628/F1613,"-")</f>
        <v>-</v>
      </c>
      <c r="G1638" s="1">
        <f t="shared" ref="G1638:K1638" si="1738">IFERROR(G1628/G1613,"-")</f>
        <v>0.16346685209675788</v>
      </c>
      <c r="H1638" s="1">
        <f t="shared" si="1738"/>
        <v>0.16346685209675793</v>
      </c>
      <c r="I1638" s="1">
        <f t="shared" si="1738"/>
        <v>0.16346685209675799</v>
      </c>
      <c r="J1638" s="1">
        <f t="shared" si="1738"/>
        <v>0.16346685209675793</v>
      </c>
      <c r="K1638" s="1">
        <f t="shared" si="1738"/>
        <v>0.1634668520967581</v>
      </c>
      <c r="L1638" s="1">
        <f t="shared" ref="L1638" si="1739">IFERROR(L1628/L1613,"-")</f>
        <v>0.16346685209675804</v>
      </c>
      <c r="N1638" s="1"/>
    </row>
    <row r="1639" spans="2:14" x14ac:dyDescent="0.35">
      <c r="B1639" t="str">
        <f t="shared" si="1689"/>
        <v>SPS1</v>
      </c>
      <c r="C1639" t="str">
        <f t="shared" si="1690"/>
        <v>CH</v>
      </c>
      <c r="D1639" t="s">
        <v>1642</v>
      </c>
      <c r="E1639" t="str">
        <f t="shared" si="1725"/>
        <v>km/MJ</v>
      </c>
      <c r="F1639" s="1">
        <f>IFERROR(F1629/F1619,"-")</f>
        <v>0.10322365358776008</v>
      </c>
      <c r="G1639" s="1">
        <f t="shared" ref="G1639:K1639" si="1740">IFERROR(G1629/G1619,"-")</f>
        <v>0.1037308147801409</v>
      </c>
      <c r="H1639" s="1">
        <f t="shared" si="1740"/>
        <v>0.1040213157429177</v>
      </c>
      <c r="I1639" s="1">
        <f t="shared" si="1740"/>
        <v>0.10966259812560314</v>
      </c>
      <c r="J1639" s="1">
        <f t="shared" si="1740"/>
        <v>0.11536109728485421</v>
      </c>
      <c r="K1639" s="1">
        <f t="shared" si="1740"/>
        <v>0.11840069273239466</v>
      </c>
      <c r="L1639" s="1">
        <f t="shared" ref="L1639" si="1741">IFERROR(L1629/L1619,"-")</f>
        <v>0.121048682691935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28.743324868353778</v>
      </c>
      <c r="G1640" s="1">
        <f t="shared" ref="G1640:K1640" si="1742">G1641+G1645+G1649+G1655</f>
        <v>27.887467054242045</v>
      </c>
      <c r="H1640" s="1">
        <f t="shared" si="1742"/>
        <v>27.078599531862558</v>
      </c>
      <c r="I1640" s="1">
        <f t="shared" si="1742"/>
        <v>26.84665294199371</v>
      </c>
      <c r="J1640" s="1">
        <f t="shared" si="1742"/>
        <v>27.480950783013974</v>
      </c>
      <c r="K1640" s="1">
        <f t="shared" si="1742"/>
        <v>27.111166991089405</v>
      </c>
      <c r="L1640" s="1">
        <f t="shared" ref="L1640" si="1743">L1641+L1645+L1649+L1655</f>
        <v>20.701595844162689</v>
      </c>
      <c r="N1640" s="1"/>
    </row>
    <row r="1641" spans="2:14" x14ac:dyDescent="0.35">
      <c r="B1641" t="str">
        <f t="shared" ref="B1641:B1662" si="1744">B1640</f>
        <v>SPS1</v>
      </c>
      <c r="C1641" t="str">
        <f t="shared" ref="C1641:C1687" si="1745">C1640</f>
        <v>CH</v>
      </c>
      <c r="D1641" t="s">
        <v>1652</v>
      </c>
      <c r="E1641" t="s">
        <v>8</v>
      </c>
      <c r="F1641" s="1">
        <f>SUM(F1642:F1644)</f>
        <v>9.2070289236841134</v>
      </c>
      <c r="G1641" s="1">
        <f t="shared" ref="G1641:K1641" si="1746">SUM(G1642:G1644)</f>
        <v>9.5324995575334892</v>
      </c>
      <c r="H1641" s="1">
        <f t="shared" si="1746"/>
        <v>10.023162689160086</v>
      </c>
      <c r="I1641" s="1">
        <f t="shared" si="1746"/>
        <v>10.675131508743432</v>
      </c>
      <c r="J1641" s="1">
        <f t="shared" si="1746"/>
        <v>11.227945660121874</v>
      </c>
      <c r="K1641" s="1">
        <f t="shared" si="1746"/>
        <v>12.883056954997363</v>
      </c>
      <c r="L1641" s="1">
        <f t="shared" ref="L1641" si="1747">SUM(L1642:L1644)</f>
        <v>18.658652912892965</v>
      </c>
      <c r="N1641" s="1"/>
    </row>
    <row r="1642" spans="2:14" x14ac:dyDescent="0.35">
      <c r="B1642" t="str">
        <f t="shared" si="1744"/>
        <v>SPS1</v>
      </c>
      <c r="C1642" t="str">
        <f t="shared" si="1745"/>
        <v>CH</v>
      </c>
      <c r="D1642" t="s">
        <v>1653</v>
      </c>
      <c r="E1642" t="str">
        <f t="shared" ref="E1642:E1644" si="1748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9.7092347670922798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10.452472595886073</v>
      </c>
      <c r="N1642" s="1"/>
    </row>
    <row r="1643" spans="2:14" x14ac:dyDescent="0.35">
      <c r="B1643" t="str">
        <f t="shared" si="1744"/>
        <v>SPS1</v>
      </c>
      <c r="C1643" t="str">
        <f t="shared" si="1745"/>
        <v>CH</v>
      </c>
      <c r="D1643" t="s">
        <v>1654</v>
      </c>
      <c r="E1643" t="str">
        <f t="shared" si="1748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1.502308910583168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1.5903254210532058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1.7462674603403225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1.8943154384441159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1.981380832016755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2.028149047119173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2.1804641527692876</v>
      </c>
      <c r="N1643" s="1"/>
    </row>
    <row r="1644" spans="2:14" x14ac:dyDescent="0.35">
      <c r="B1644" t="str">
        <f t="shared" si="1744"/>
        <v>SPS1</v>
      </c>
      <c r="C1644" t="str">
        <f t="shared" si="1745"/>
        <v>CH</v>
      </c>
      <c r="D1644" t="s">
        <v>1655</v>
      </c>
      <c r="E1644" t="str">
        <f t="shared" si="1748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3.6268699629359941E-2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6.8993776515411331E-2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6.9006073123235062E-2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3.635945117451702E-2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1.14567314078591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6.025716164237604</v>
      </c>
      <c r="N1644" s="1"/>
    </row>
    <row r="1645" spans="2:14" x14ac:dyDescent="0.35">
      <c r="B1645" t="str">
        <f t="shared" si="1744"/>
        <v>SPS1</v>
      </c>
      <c r="C1645" t="str">
        <f t="shared" si="1745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9">SUM(G1646:G1648)</f>
        <v>0</v>
      </c>
      <c r="H1645" s="1">
        <f t="shared" si="1749"/>
        <v>0</v>
      </c>
      <c r="I1645" s="1">
        <f t="shared" si="1749"/>
        <v>0</v>
      </c>
      <c r="J1645" s="1">
        <f t="shared" si="1749"/>
        <v>1.2857308386019709E-5</v>
      </c>
      <c r="K1645" s="1">
        <f t="shared" si="1749"/>
        <v>8.7301289619687089E-5</v>
      </c>
      <c r="L1645" s="1">
        <f t="shared" ref="L1645" si="1750">SUM(L1646:L1648)</f>
        <v>1.5991219604586485E-4</v>
      </c>
      <c r="N1645" s="1"/>
    </row>
    <row r="1646" spans="2:14" x14ac:dyDescent="0.35">
      <c r="B1646" t="str">
        <f t="shared" si="1744"/>
        <v>SPS1</v>
      </c>
      <c r="C1646" t="str">
        <f t="shared" si="1745"/>
        <v>CH</v>
      </c>
      <c r="D1646" t="s">
        <v>1657</v>
      </c>
      <c r="E1646" t="str">
        <f t="shared" ref="E1646:E1648" si="1751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7.2487816810507915E-5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1.045592905490596E-4</v>
      </c>
      <c r="N1646" s="1"/>
    </row>
    <row r="1647" spans="2:14" x14ac:dyDescent="0.35">
      <c r="B1647" t="str">
        <f t="shared" si="1744"/>
        <v>SPS1</v>
      </c>
      <c r="C1647" t="str">
        <f t="shared" si="1745"/>
        <v>CH</v>
      </c>
      <c r="D1647" t="s">
        <v>1658</v>
      </c>
      <c r="E1647" t="str">
        <f t="shared" si="1751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4"/>
        <v>SPS1</v>
      </c>
      <c r="C1648" t="str">
        <f t="shared" si="1745"/>
        <v>CH</v>
      </c>
      <c r="D1648" t="s">
        <v>1659</v>
      </c>
      <c r="E1648" t="str">
        <f t="shared" si="1751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1.2857308386019709E-5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1.4813472809179175E-5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5.5352905496805251E-5</v>
      </c>
      <c r="N1648" s="1"/>
    </row>
    <row r="1649" spans="2:14" x14ac:dyDescent="0.35">
      <c r="B1649" t="str">
        <f t="shared" si="1744"/>
        <v>SPS1</v>
      </c>
      <c r="C1649" t="str">
        <f t="shared" si="1745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2">G1654</f>
        <v>0.69717588746708692</v>
      </c>
      <c r="H1649" s="1">
        <f t="shared" si="1752"/>
        <v>1.7205344533923513E-4</v>
      </c>
      <c r="I1649" s="1">
        <f t="shared" si="1752"/>
        <v>4.9475333028668996E-5</v>
      </c>
      <c r="J1649" s="1">
        <f t="shared" si="1752"/>
        <v>1.1084960300090283E-3</v>
      </c>
      <c r="K1649" s="1">
        <f t="shared" si="1752"/>
        <v>4.370883941226472E-4</v>
      </c>
      <c r="L1649" s="1">
        <f t="shared" ref="L1649" si="1753">L1654</f>
        <v>0</v>
      </c>
      <c r="N1649" s="1"/>
    </row>
    <row r="1650" spans="2:14" x14ac:dyDescent="0.35">
      <c r="B1650" t="str">
        <f t="shared" si="1744"/>
        <v>SPS1</v>
      </c>
      <c r="C1650" t="str">
        <f t="shared" si="1745"/>
        <v>CH</v>
      </c>
      <c r="D1650" t="s">
        <v>1661</v>
      </c>
      <c r="E1650" t="str">
        <f t="shared" ref="E1650:E1662" si="1754">E1649</f>
        <v>PJ/yr.</v>
      </c>
      <c r="F1650" s="1">
        <f>F1649-F1651</f>
        <v>1.6634734026693114</v>
      </c>
      <c r="G1650" s="1">
        <f t="shared" ref="G1650:K1650" si="1755">G1649-G1651</f>
        <v>0.65900819833804125</v>
      </c>
      <c r="H1650" s="1">
        <f t="shared" si="1755"/>
        <v>1.6263511701775909E-4</v>
      </c>
      <c r="I1650" s="1">
        <f t="shared" si="1755"/>
        <v>4.6766621288620701E-5</v>
      </c>
      <c r="J1650" s="1">
        <f t="shared" si="1755"/>
        <v>1.0477877684252877E-3</v>
      </c>
      <c r="K1650" s="1">
        <f t="shared" si="1755"/>
        <v>3.822466701936865E-4</v>
      </c>
      <c r="L1650" s="1">
        <f t="shared" ref="L1650" si="1756">L1649-L1651</f>
        <v>0</v>
      </c>
      <c r="N1650" s="1"/>
    </row>
    <row r="1651" spans="2:14" x14ac:dyDescent="0.35">
      <c r="B1651" t="str">
        <f t="shared" si="1744"/>
        <v>SPS1</v>
      </c>
      <c r="C1651" t="str">
        <f t="shared" si="1745"/>
        <v>CH</v>
      </c>
      <c r="D1651" t="s">
        <v>1662</v>
      </c>
      <c r="E1651" t="str">
        <f t="shared" si="1754"/>
        <v>PJ/yr.</v>
      </c>
      <c r="F1651" s="1">
        <f>SUM(F1652:F1653)</f>
        <v>9.6334361059046511E-2</v>
      </c>
      <c r="G1651" s="1">
        <f t="shared" ref="G1651:K1651" si="1757">SUM(G1652:G1653)</f>
        <v>3.8167689129045689E-2</v>
      </c>
      <c r="H1651" s="1">
        <f t="shared" si="1757"/>
        <v>9.4183283214760467E-6</v>
      </c>
      <c r="I1651" s="1">
        <f t="shared" si="1757"/>
        <v>2.7087117400482981E-6</v>
      </c>
      <c r="J1651" s="1">
        <f t="shared" si="1757"/>
        <v>6.0708261583740687E-5</v>
      </c>
      <c r="K1651" s="1">
        <f t="shared" si="1757"/>
        <v>5.4841723928960708E-5</v>
      </c>
      <c r="L1651" s="1">
        <f t="shared" ref="L1651" si="1758">SUM(L1652:L1653)</f>
        <v>0</v>
      </c>
      <c r="N1651" s="1"/>
    </row>
    <row r="1652" spans="2:14" x14ac:dyDescent="0.35">
      <c r="B1652" t="str">
        <f t="shared" si="1744"/>
        <v>SPS1</v>
      </c>
      <c r="C1652" t="str">
        <f t="shared" si="1745"/>
        <v>CH</v>
      </c>
      <c r="D1652" t="s">
        <v>1663</v>
      </c>
      <c r="E1652" t="str">
        <f t="shared" si="1754"/>
        <v>PJ/yr.</v>
      </c>
      <c r="F1652" s="1">
        <f>[1]Transport!B$25/SUM([1]Transport!B$21,[1]Transport!B$25)*F1649*(F$35+F$600)/(F$35+F$600+F$39)</f>
        <v>9.6334361059046511E-2</v>
      </c>
      <c r="G1652" s="1">
        <f>[1]Transport!C$25/SUM([1]Transport!C$21,[1]Transport!C$25)*G1649*(G$35+G$600)/(G$35+G$600+G$39)</f>
        <v>3.8167689129045689E-2</v>
      </c>
      <c r="H1652" s="1">
        <f>[1]Transport!D$25/SUM([1]Transport!D$21,[1]Transport!D$25)*H1649*(H$35+H$600)/(H$35+H$600+H$39)</f>
        <v>9.4183283214760467E-6</v>
      </c>
      <c r="I1652" s="1">
        <f>[1]Transport!E$25/SUM([1]Transport!E$21,[1]Transport!E$25)*I1649*(I$35+I$600)/(I$35+I$600+I$39)</f>
        <v>2.7087117400482981E-6</v>
      </c>
      <c r="J1652" s="1">
        <f>[2]Transport!F$25/SUM([2]Transport!F$21,[2]Transport!F$25)*J1649*(J$35+J$600)/(J$35+J$600+J$39)</f>
        <v>6.0708261583740687E-5</v>
      </c>
      <c r="K1652" s="1">
        <f>[2]Transport!G$25/SUM([2]Transport!G$21,[2]Transport!G$25)*K1649*(K$35+K$600)/(K$35+K$600+K$39)</f>
        <v>5.4801257527409499E-5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4"/>
        <v>SPS1</v>
      </c>
      <c r="C1653" t="str">
        <f t="shared" si="1745"/>
        <v>CH</v>
      </c>
      <c r="D1653" t="s">
        <v>1664</v>
      </c>
      <c r="E1653" t="str">
        <f t="shared" si="1754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4.0466401551211387E-8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4"/>
        <v>SPS1</v>
      </c>
      <c r="C1654" t="str">
        <f t="shared" si="1745"/>
        <v>CH</v>
      </c>
      <c r="D1654" t="s">
        <v>1665</v>
      </c>
      <c r="E1654" t="str">
        <f t="shared" si="1754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0.69717588746708692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1.7205344533923513E-4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4.9475333028668996E-5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1.1084960300090283E-3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4.370883941226472E-4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4"/>
        <v>SPS1</v>
      </c>
      <c r="C1655" t="str">
        <f t="shared" si="1745"/>
        <v>CH</v>
      </c>
      <c r="D1655" t="s">
        <v>1666</v>
      </c>
      <c r="E1655" t="str">
        <f t="shared" si="1754"/>
        <v>PJ/yr.</v>
      </c>
      <c r="F1655" s="1">
        <f>[1]TRA_FuelByFleet!F$99</f>
        <v>17.776488180941307</v>
      </c>
      <c r="G1655" s="1">
        <f>[1]TRA_FuelByFleet!G$99</f>
        <v>17.657791609241471</v>
      </c>
      <c r="H1655" s="1">
        <f>[1]TRA_FuelByFleet!H$99</f>
        <v>17.055264789257134</v>
      </c>
      <c r="I1655" s="1">
        <f>[1]TRA_FuelByFleet!I$99</f>
        <v>16.171471957917248</v>
      </c>
      <c r="J1655" s="1">
        <f>[2]TRA_FuelByFleet!J$99</f>
        <v>16.251883769553704</v>
      </c>
      <c r="K1655" s="1">
        <f>[2]TRA_FuelByFleet!K$99</f>
        <v>14.227585646408301</v>
      </c>
      <c r="L1655" s="1">
        <f>[2]TRA_FuelByFleet!L$99</f>
        <v>2.0427830190736787</v>
      </c>
      <c r="N1655" s="1"/>
    </row>
    <row r="1656" spans="2:14" x14ac:dyDescent="0.35">
      <c r="B1656" t="str">
        <f t="shared" si="1744"/>
        <v>SPS1</v>
      </c>
      <c r="C1656" t="str">
        <f t="shared" si="1745"/>
        <v>CH</v>
      </c>
      <c r="D1656" t="s">
        <v>1667</v>
      </c>
      <c r="E1656" t="str">
        <f t="shared" si="1754"/>
        <v>PJ/yr.</v>
      </c>
      <c r="F1656" s="1">
        <f>F1655-F1657</f>
        <v>17.333419544664846</v>
      </c>
      <c r="G1656" s="1">
        <f t="shared" ref="G1656:K1656" si="1759">G1655-G1657</f>
        <v>17.197553504611587</v>
      </c>
      <c r="H1656" s="1">
        <f t="shared" si="1759"/>
        <v>16.289945084885254</v>
      </c>
      <c r="I1656" s="1">
        <f t="shared" si="1759"/>
        <v>15.446809672870115</v>
      </c>
      <c r="J1656" s="1">
        <f t="shared" si="1759"/>
        <v>15.029706069517134</v>
      </c>
      <c r="K1656" s="1">
        <f t="shared" si="1759"/>
        <v>12.8357236522139</v>
      </c>
      <c r="L1656" s="1">
        <f t="shared" ref="L1656" si="1760">L1655-L1657</f>
        <v>4.2286670216729494E-2</v>
      </c>
      <c r="N1656" s="1"/>
    </row>
    <row r="1657" spans="2:14" x14ac:dyDescent="0.35">
      <c r="B1657" t="str">
        <f t="shared" si="1744"/>
        <v>SPS1</v>
      </c>
      <c r="C1657" t="str">
        <f t="shared" si="1745"/>
        <v>CH</v>
      </c>
      <c r="D1657" t="s">
        <v>1668</v>
      </c>
      <c r="E1657" t="str">
        <f t="shared" si="1754"/>
        <v>PJ/yr.</v>
      </c>
      <c r="F1657" s="1">
        <f>SUM(F1658:F1659)</f>
        <v>0.44306863627646159</v>
      </c>
      <c r="G1657" s="1">
        <f t="shared" ref="G1657:K1657" si="1761">SUM(G1658:G1659)</f>
        <v>0.46023810462988474</v>
      </c>
      <c r="H1657" s="1">
        <f t="shared" si="1761"/>
        <v>0.76531970437187891</v>
      </c>
      <c r="I1657" s="1">
        <f t="shared" si="1761"/>
        <v>0.72466228504713248</v>
      </c>
      <c r="J1657" s="1">
        <f t="shared" si="1761"/>
        <v>1.2221777000365694</v>
      </c>
      <c r="K1657" s="1">
        <f t="shared" si="1761"/>
        <v>1.3918619941944006</v>
      </c>
      <c r="L1657" s="1">
        <f t="shared" ref="L1657" si="1762">SUM(L1658:L1659)</f>
        <v>2.0004963488569492</v>
      </c>
      <c r="N1657" s="1"/>
    </row>
    <row r="1658" spans="2:14" x14ac:dyDescent="0.35">
      <c r="B1658" t="str">
        <f t="shared" si="1744"/>
        <v>SPS1</v>
      </c>
      <c r="C1658" t="str">
        <f t="shared" si="1745"/>
        <v>CH</v>
      </c>
      <c r="D1658" t="s">
        <v>1669</v>
      </c>
      <c r="E1658" t="str">
        <f t="shared" si="1754"/>
        <v>PJ/yr.</v>
      </c>
      <c r="F1658" s="1">
        <f>[1]Transport!B$26/SUM([1]Transport!B$22,[1]Transport!B$26)*F1655*(F$34+F$582)/(F$34+F$582+F$38)</f>
        <v>0.44306863627646159</v>
      </c>
      <c r="G1658" s="1">
        <f>[1]Transport!C$26/SUM([1]Transport!C$22,[1]Transport!C$26)*G1655*(G$34+G$582)/(G$34+G$582+G$38)</f>
        <v>0.46023810462988474</v>
      </c>
      <c r="H1658" s="1">
        <f>[1]Transport!D$26/SUM([1]Transport!D$22,[1]Transport!D$26)*H1655*(H$34+H$582)/(H$34+H$582+H$38)</f>
        <v>0.76531970437187891</v>
      </c>
      <c r="I1658" s="1">
        <f>[1]Transport!E$26/SUM([1]Transport!E$22,[1]Transport!E$26)*I1655*(I$34+I$582)/(I$34+I$582+I$38)</f>
        <v>0.72466228504713248</v>
      </c>
      <c r="J1658" s="1">
        <f>[2]Transport!F$26/SUM([2]Transport!F$22,[2]Transport!F$26)*J1655*(J$34+J$582)/(J$34+J$582+J$38)</f>
        <v>1.2221777000365694</v>
      </c>
      <c r="K1658" s="1">
        <f>[2]Transport!G$26/SUM([2]Transport!G$22,[2]Transport!G$26)*K1655*(K$34+K$582)/(K$34+K$582+K$38)</f>
        <v>1.3918619941944006</v>
      </c>
      <c r="L1658" s="1">
        <f>[2]Transport!H$26/SUM([2]Transport!H$22,[2]Transport!H$26)*L1655*(L$34+L$582)/(L$34+L$582+L$38)</f>
        <v>2.0004963488569492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4"/>
        <v>SPS1</v>
      </c>
      <c r="C1661" t="str">
        <f t="shared" si="1745"/>
        <v>CH</v>
      </c>
      <c r="D1661" t="s">
        <v>1672</v>
      </c>
      <c r="E1661" t="str">
        <f t="shared" si="1754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0.39609037460659835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0.27738439276093391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5.006354173435301E-4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4.640174624162496E-4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4.0055963655274838E-4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4.0986209447244418E-4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4"/>
        <v>SPS1</v>
      </c>
      <c r="C1662" t="str">
        <f t="shared" si="1745"/>
        <v>CH</v>
      </c>
      <c r="D1662" t="s">
        <v>1673</v>
      </c>
      <c r="E1662" t="str">
        <f t="shared" si="1754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17.380407216480538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17.054764153839791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16.171007940454832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16.251483209917151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14.227175784313829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2.0427830190736787</v>
      </c>
      <c r="N1662" s="1"/>
    </row>
    <row r="1663" spans="2:14" x14ac:dyDescent="0.35">
      <c r="B1663" t="str">
        <f t="shared" ref="B1663:C1665" si="1763">B1657</f>
        <v>SPS1</v>
      </c>
      <c r="C1663" t="str">
        <f t="shared" si="1763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30.628440161072064</v>
      </c>
      <c r="G1663" s="1">
        <f>IF([1]Transport!C$23+[1]Transport_Aviation_Intl!C$11&lt;0,0,[1]Transport!C$23+[1]Transport_Aviation_Intl!C$11)</f>
        <v>59.879913578512607</v>
      </c>
      <c r="H1663" s="1">
        <f>IF([1]Transport!D$23+[1]Transport_Aviation_Intl!D$11&lt;0,0,[1]Transport!D$23+[1]Transport_Aviation_Intl!D$11)</f>
        <v>82.505387569273026</v>
      </c>
      <c r="I1663" s="1">
        <f>IF([1]Transport!E$23+[1]Transport_Aviation_Intl!E$11&lt;0,0,[1]Transport!E$23+[1]Transport_Aviation_Intl!E$11)</f>
        <v>81.05240978566566</v>
      </c>
      <c r="J1663" s="1">
        <f>IF([2]Transport!F$23+[2]Transport_Aviation_Intl!F$11&lt;0,0,[2]Transport!F$23+[2]Transport_Aviation_Intl!F$11)</f>
        <v>68.473010116197031</v>
      </c>
      <c r="K1663" s="1">
        <f>IF([2]Transport!G$23+[2]Transport_Aviation_Intl!G$11&lt;0,0,[2]Transport!G$23+[2]Transport_Aviation_Intl!G$11)</f>
        <v>54.62918846567915</v>
      </c>
      <c r="L1663" s="1">
        <f>IF([2]Transport!H$23+[2]Transport_Aviation_Intl!H$11&lt;0,0,[2]Transport!H$23+[2]Transport_Aviation_Intl!H$11)</f>
        <v>8.6012015998448987E-7</v>
      </c>
      <c r="N1663" s="1"/>
    </row>
    <row r="1664" spans="2:14" x14ac:dyDescent="0.35">
      <c r="B1664" t="str">
        <f t="shared" si="1763"/>
        <v>SPS1</v>
      </c>
      <c r="C1664" t="str">
        <f t="shared" si="1763"/>
        <v>CH</v>
      </c>
      <c r="D1664" t="s">
        <v>2480</v>
      </c>
      <c r="E1664" t="str">
        <f>E1658</f>
        <v>PJ/yr.</v>
      </c>
      <c r="F1664" s="1">
        <f t="shared" ref="F1664:K1664" si="1764">F36</f>
        <v>1.5598627499279101E-3</v>
      </c>
      <c r="G1664" s="1">
        <f t="shared" si="1764"/>
        <v>8.6437936975150299E-5</v>
      </c>
      <c r="H1664" s="1">
        <f t="shared" si="1764"/>
        <v>1.04857134470043E-3</v>
      </c>
      <c r="I1664" s="1">
        <f t="shared" si="1764"/>
        <v>5.0162523841764157</v>
      </c>
      <c r="J1664" s="1">
        <f t="shared" si="1764"/>
        <v>5.0162523841764157</v>
      </c>
      <c r="K1664" s="1">
        <f t="shared" si="1764"/>
        <v>16.481332518489577</v>
      </c>
      <c r="L1664" s="1">
        <f t="shared" ref="L1664" si="1765">L36</f>
        <v>27.808184559734983</v>
      </c>
      <c r="N1664" s="1"/>
    </row>
    <row r="1665" spans="2:14" x14ac:dyDescent="0.35">
      <c r="B1665" t="str">
        <f t="shared" si="1763"/>
        <v>SPS1</v>
      </c>
      <c r="C1665" t="str">
        <f t="shared" si="1763"/>
        <v>CH</v>
      </c>
      <c r="D1665" t="s">
        <v>2481</v>
      </c>
      <c r="E1665" t="str">
        <f>E1659</f>
        <v>PJ/yr.</v>
      </c>
      <c r="F1665" s="1">
        <f t="shared" ref="F1665:K1665" si="1766">F40</f>
        <v>0</v>
      </c>
      <c r="G1665" s="1">
        <f t="shared" si="1766"/>
        <v>0</v>
      </c>
      <c r="H1665" s="1">
        <f t="shared" si="1766"/>
        <v>0</v>
      </c>
      <c r="I1665" s="1">
        <f t="shared" si="1766"/>
        <v>0</v>
      </c>
      <c r="J1665" s="1">
        <f t="shared" si="1766"/>
        <v>11.465080134313162</v>
      </c>
      <c r="K1665" s="1">
        <f t="shared" si="1766"/>
        <v>11.326852041245406</v>
      </c>
      <c r="L1665" s="1">
        <f t="shared" ref="L1665" si="1767">L40</f>
        <v>49.80473235125875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8">B1666</f>
        <v>SPS1</v>
      </c>
      <c r="C1667" t="str">
        <f t="shared" si="1745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0.24502343609303073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0.26339815888302892</v>
      </c>
      <c r="N1667" s="1"/>
    </row>
    <row r="1668" spans="2:14" x14ac:dyDescent="0.35">
      <c r="B1668" t="str">
        <f t="shared" si="1768"/>
        <v>SPS1</v>
      </c>
      <c r="C1668" t="str">
        <f t="shared" si="1745"/>
        <v>CH</v>
      </c>
      <c r="D1668" t="s">
        <v>1676</v>
      </c>
      <c r="E1668" t="str">
        <f t="shared" ref="E1668:E1671" si="1769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2.50946164458749E-2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2.6564847072605705E-2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2.9169707921216793E-2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3.1642706117479824E-2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3.309704925691203E-2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3.3878267028826688E-2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3.6422543461107737E-2</v>
      </c>
      <c r="N1668" s="1"/>
    </row>
    <row r="1669" spans="2:14" x14ac:dyDescent="0.35">
      <c r="B1669" t="str">
        <f t="shared" si="1768"/>
        <v>SPS1</v>
      </c>
      <c r="C1669" t="str">
        <f t="shared" si="1745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8.9489074085485995E-2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0.170234644228243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0.17026498477146099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8.9556525306526094E-2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2.09068350572797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14.131654901169499</v>
      </c>
      <c r="N1669" s="1"/>
    </row>
    <row r="1670" spans="2:14" x14ac:dyDescent="0.35">
      <c r="B1670" t="str">
        <f t="shared" si="1768"/>
        <v>SPS1</v>
      </c>
      <c r="C1670" t="str">
        <f t="shared" si="1745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1.3005679865032936E-6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2.0200935841390658E-6</v>
      </c>
      <c r="N1670" s="1"/>
    </row>
    <row r="1671" spans="2:14" x14ac:dyDescent="0.35">
      <c r="B1671" t="str">
        <f t="shared" si="1768"/>
        <v>SPS1</v>
      </c>
      <c r="C1671" t="str">
        <f t="shared" si="1745"/>
        <v>CH</v>
      </c>
      <c r="D1671" t="s">
        <v>1679</v>
      </c>
      <c r="E1671" t="str">
        <f t="shared" si="1769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8"/>
        <v>SPS1</v>
      </c>
      <c r="C1672" t="str">
        <f t="shared" si="1745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2.3059303083622301E-5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2.6567641451245302E-5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9.9274232684488104E-5</v>
      </c>
      <c r="N1672" s="1"/>
    </row>
    <row r="1673" spans="2:14" x14ac:dyDescent="0.35">
      <c r="B1673" t="str">
        <f t="shared" si="1768"/>
        <v>SPS1</v>
      </c>
      <c r="C1673" t="str">
        <f t="shared" si="1745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0.63192877808771497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1.5595135378823201E-4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4.48450488726429E-5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1.00475440179615E-3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3.9618228309321301E-4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8"/>
        <v>SPS1</v>
      </c>
      <c r="C1674" t="str">
        <f t="shared" si="1745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8"/>
        <v>SPS1</v>
      </c>
      <c r="C1675" t="str">
        <f t="shared" si="1745"/>
        <v>CH</v>
      </c>
      <c r="D1675" t="s">
        <v>1683</v>
      </c>
      <c r="E1675" t="str">
        <f t="shared" ref="E1675" si="1770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1.6053835541250943E-3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1.1242594389011976E-3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2.0291123368350284E-6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1.8806970599317776E-6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1.623497803012239E-6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1.6612013522894808E-6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8"/>
        <v>SPS1</v>
      </c>
      <c r="C1676" t="str">
        <f t="shared" si="1745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17.1765312187704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16.854708020846701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15.981318462137301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16.060849738996499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14.060287884537001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2.0188207251566599</v>
      </c>
      <c r="N1676" s="1"/>
    </row>
    <row r="1677" spans="2:14" x14ac:dyDescent="0.35">
      <c r="B1677" s="2" t="str">
        <f t="shared" si="1768"/>
        <v>SPS1</v>
      </c>
      <c r="C1677" s="2" t="str">
        <f t="shared" si="1745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8"/>
        <v>SPS1</v>
      </c>
      <c r="C1678" t="str">
        <f t="shared" si="1745"/>
        <v>CH</v>
      </c>
      <c r="D1678" t="s">
        <v>1686</v>
      </c>
      <c r="E1678" t="s">
        <v>1229</v>
      </c>
      <c r="F1678" s="7">
        <f t="shared" ref="F1678:K1680" si="1771">IFERROR(F1667/F1642,"-")</f>
        <v>2.5309161094553195E-2</v>
      </c>
      <c r="G1678" s="7">
        <f t="shared" si="1771"/>
        <v>2.5301857215832019E-2</v>
      </c>
      <c r="H1678" s="7">
        <f t="shared" si="1771"/>
        <v>2.5290901397750198E-2</v>
      </c>
      <c r="I1678" s="7">
        <f t="shared" si="1771"/>
        <v>2.5272641700947188E-2</v>
      </c>
      <c r="J1678" s="7">
        <f t="shared" si="1771"/>
        <v>2.5254382004144305E-2</v>
      </c>
      <c r="K1678" s="7">
        <f t="shared" si="1771"/>
        <v>2.5236122307341253E-2</v>
      </c>
      <c r="L1678" s="7">
        <f t="shared" ref="L1678" si="1772">IFERROR(L1667/L1642,"-")</f>
        <v>2.5199602913735287E-2</v>
      </c>
      <c r="N1678" s="1"/>
    </row>
    <row r="1679" spans="2:14" x14ac:dyDescent="0.35">
      <c r="B1679" t="str">
        <f t="shared" si="1768"/>
        <v>SPS1</v>
      </c>
      <c r="C1679" t="str">
        <f t="shared" si="1745"/>
        <v>CH</v>
      </c>
      <c r="D1679" t="s">
        <v>1687</v>
      </c>
      <c r="E1679" t="s">
        <v>1229</v>
      </c>
      <c r="F1679" s="7">
        <f t="shared" si="1771"/>
        <v>1.6704032219401296E-2</v>
      </c>
      <c r="G1679" s="7">
        <f t="shared" si="1771"/>
        <v>1.670403221940131E-2</v>
      </c>
      <c r="H1679" s="7">
        <f t="shared" si="1771"/>
        <v>1.6704032219401279E-2</v>
      </c>
      <c r="I1679" s="7">
        <f t="shared" si="1771"/>
        <v>1.6704032219401307E-2</v>
      </c>
      <c r="J1679" s="7">
        <f t="shared" si="1771"/>
        <v>1.67040322194013E-2</v>
      </c>
      <c r="K1679" s="7">
        <f t="shared" si="1771"/>
        <v>1.6704032219401289E-2</v>
      </c>
      <c r="L1679" s="7">
        <f t="shared" ref="L1679" si="1773">IFERROR(L1668/L1643,"-")</f>
        <v>1.67040322194013E-2</v>
      </c>
      <c r="N1679" s="1"/>
    </row>
    <row r="1680" spans="2:14" x14ac:dyDescent="0.35">
      <c r="B1680" t="str">
        <f t="shared" si="1768"/>
        <v>SPS1</v>
      </c>
      <c r="C1680" t="str">
        <f t="shared" si="1745"/>
        <v>CH</v>
      </c>
      <c r="D1680" t="s">
        <v>1688</v>
      </c>
      <c r="E1680" t="s">
        <v>240</v>
      </c>
      <c r="F1680" t="str">
        <f t="shared" si="1771"/>
        <v>-</v>
      </c>
      <c r="G1680">
        <f t="shared" si="1771"/>
        <v>2.4673913043478275</v>
      </c>
      <c r="H1680">
        <f t="shared" si="1771"/>
        <v>2.4673913043478235</v>
      </c>
      <c r="I1680">
        <f t="shared" si="1771"/>
        <v>2.4673913043478342</v>
      </c>
      <c r="J1680">
        <f t="shared" si="1771"/>
        <v>2.4630879293715222</v>
      </c>
      <c r="K1680">
        <f t="shared" si="1771"/>
        <v>1.824851636387147</v>
      </c>
      <c r="L1680">
        <f t="shared" ref="L1680" si="1774">IFERROR(L1669/L1644,"-")</f>
        <v>2.3452241220786889</v>
      </c>
      <c r="N1680" s="1"/>
    </row>
    <row r="1681" spans="2:14" x14ac:dyDescent="0.35">
      <c r="B1681" t="str">
        <f t="shared" si="1768"/>
        <v>SPS1</v>
      </c>
      <c r="C1681" t="str">
        <f t="shared" si="1745"/>
        <v>CH</v>
      </c>
      <c r="D1681" t="s">
        <v>1689</v>
      </c>
      <c r="E1681" t="s">
        <v>1229</v>
      </c>
      <c r="F1681" t="str">
        <f t="shared" ref="F1681:K1683" si="1775">IFERROR(F1670/F1646,"-")</f>
        <v>-</v>
      </c>
      <c r="G1681" t="str">
        <f t="shared" si="1775"/>
        <v>-</v>
      </c>
      <c r="H1681" t="str">
        <f t="shared" si="1775"/>
        <v>-</v>
      </c>
      <c r="I1681" t="str">
        <f t="shared" si="1775"/>
        <v>-</v>
      </c>
      <c r="J1681" t="str">
        <f t="shared" si="1775"/>
        <v>-</v>
      </c>
      <c r="K1681">
        <f t="shared" si="1775"/>
        <v>1.7941883805152232E-2</v>
      </c>
      <c r="L1681">
        <f t="shared" ref="L1681" si="1776">IFERROR(L1670/L1646,"-")</f>
        <v>1.9320077379362387E-2</v>
      </c>
      <c r="N1681" s="1"/>
    </row>
    <row r="1682" spans="2:14" x14ac:dyDescent="0.35">
      <c r="B1682" t="str">
        <f t="shared" si="1768"/>
        <v>SPS1</v>
      </c>
      <c r="C1682" t="str">
        <f t="shared" si="1745"/>
        <v>CH</v>
      </c>
      <c r="D1682" t="s">
        <v>1690</v>
      </c>
      <c r="E1682" t="s">
        <v>1229</v>
      </c>
      <c r="F1682" t="str">
        <f t="shared" si="1775"/>
        <v>-</v>
      </c>
      <c r="G1682" t="str">
        <f t="shared" si="1775"/>
        <v>-</v>
      </c>
      <c r="H1682" t="str">
        <f t="shared" si="1775"/>
        <v>-</v>
      </c>
      <c r="I1682" t="str">
        <f t="shared" si="1775"/>
        <v>-</v>
      </c>
      <c r="J1682" t="str">
        <f t="shared" si="1775"/>
        <v>-</v>
      </c>
      <c r="K1682" t="str">
        <f t="shared" si="1775"/>
        <v>-</v>
      </c>
      <c r="L1682" t="str">
        <f t="shared" ref="L1682" si="1777">IFERROR(L1671/L1647,"-")</f>
        <v>-</v>
      </c>
      <c r="N1682" s="1"/>
    </row>
    <row r="1683" spans="2:14" x14ac:dyDescent="0.35">
      <c r="B1683" t="str">
        <f t="shared" si="1768"/>
        <v>SPS1</v>
      </c>
      <c r="C1683" t="str">
        <f t="shared" si="1745"/>
        <v>CH</v>
      </c>
      <c r="D1683" t="s">
        <v>1691</v>
      </c>
      <c r="E1683" t="s">
        <v>240</v>
      </c>
      <c r="F1683" t="str">
        <f t="shared" si="1775"/>
        <v>-</v>
      </c>
      <c r="G1683" t="str">
        <f t="shared" si="1775"/>
        <v>-</v>
      </c>
      <c r="H1683" t="str">
        <f t="shared" si="1775"/>
        <v>-</v>
      </c>
      <c r="I1683" t="str">
        <f t="shared" si="1775"/>
        <v>-</v>
      </c>
      <c r="J1683">
        <f t="shared" si="1775"/>
        <v>1.793478260869565</v>
      </c>
      <c r="K1683">
        <f t="shared" si="1775"/>
        <v>1.7934782608695681</v>
      </c>
      <c r="L1683">
        <f t="shared" ref="L1683" si="1778">IFERROR(L1672/L1648,"-")</f>
        <v>1.793478260869573</v>
      </c>
      <c r="N1683" s="1"/>
    </row>
    <row r="1684" spans="2:14" x14ac:dyDescent="0.35">
      <c r="B1684" t="str">
        <f t="shared" si="1768"/>
        <v>SPS1</v>
      </c>
      <c r="C1684" t="str">
        <f t="shared" si="1745"/>
        <v>CH</v>
      </c>
      <c r="D1684" t="s">
        <v>1692</v>
      </c>
      <c r="E1684" t="s">
        <v>240</v>
      </c>
      <c r="F1684" s="4">
        <f t="shared" ref="F1684:K1684" si="1779">IFERROR(F1673/F1654,"-")</f>
        <v>0.90641226905247907</v>
      </c>
      <c r="G1684" s="4">
        <f t="shared" si="1779"/>
        <v>0.90641226905247463</v>
      </c>
      <c r="H1684" s="4">
        <f t="shared" si="1779"/>
        <v>0.90641226905247452</v>
      </c>
      <c r="I1684" s="4">
        <f t="shared" si="1779"/>
        <v>0.90641226905247851</v>
      </c>
      <c r="J1684" s="4">
        <f t="shared" si="1779"/>
        <v>0.90641226905248062</v>
      </c>
      <c r="K1684" s="4">
        <f t="shared" si="1779"/>
        <v>0.90641226905247929</v>
      </c>
      <c r="L1684" s="4" t="str">
        <f t="shared" ref="L1684" si="1780">IFERROR(L1673/L1654,"-")</f>
        <v>-</v>
      </c>
      <c r="N1684" s="1"/>
    </row>
    <row r="1685" spans="2:14" x14ac:dyDescent="0.35">
      <c r="B1685" t="str">
        <f t="shared" si="1768"/>
        <v>SPS1</v>
      </c>
      <c r="C1685" t="str">
        <f t="shared" si="1745"/>
        <v>CH</v>
      </c>
      <c r="D1685" t="s">
        <v>1693</v>
      </c>
      <c r="E1685" t="s">
        <v>1229</v>
      </c>
      <c r="F1685" t="str">
        <f t="shared" ref="F1685:K1687" si="1781">IFERROR(F1674/F1660,"-")</f>
        <v>-</v>
      </c>
      <c r="G1685" t="str">
        <f t="shared" si="1781"/>
        <v>-</v>
      </c>
      <c r="H1685" t="str">
        <f t="shared" si="1781"/>
        <v>-</v>
      </c>
      <c r="I1685" t="str">
        <f t="shared" si="1781"/>
        <v>-</v>
      </c>
      <c r="J1685" t="str">
        <f t="shared" si="1781"/>
        <v>-</v>
      </c>
      <c r="K1685" t="str">
        <f t="shared" si="1781"/>
        <v>-</v>
      </c>
      <c r="L1685" t="str">
        <f t="shared" ref="L1685" si="1782">IFERROR(L1674/L1660,"-")</f>
        <v>-</v>
      </c>
      <c r="N1685" s="1"/>
    </row>
    <row r="1686" spans="2:14" x14ac:dyDescent="0.35">
      <c r="B1686" t="str">
        <f t="shared" si="1768"/>
        <v>SPS1</v>
      </c>
      <c r="C1686" t="str">
        <f t="shared" si="1745"/>
        <v>CH</v>
      </c>
      <c r="D1686" t="s">
        <v>1694</v>
      </c>
      <c r="E1686" t="s">
        <v>1229</v>
      </c>
      <c r="F1686" s="1">
        <f t="shared" si="1781"/>
        <v>4.0530738867855104E-3</v>
      </c>
      <c r="G1686" s="1">
        <f t="shared" si="1781"/>
        <v>4.0530738867855121E-3</v>
      </c>
      <c r="H1686">
        <f t="shared" si="1781"/>
        <v>4.0530738867855121E-3</v>
      </c>
      <c r="I1686">
        <f t="shared" si="1781"/>
        <v>4.0530738867855087E-3</v>
      </c>
      <c r="J1686">
        <f t="shared" si="1781"/>
        <v>4.0530738867855095E-3</v>
      </c>
      <c r="K1686">
        <f t="shared" si="1781"/>
        <v>4.0530738867855139E-3</v>
      </c>
      <c r="L1686" t="str">
        <f t="shared" ref="L1686" si="1783">IFERROR(L1675/L1661,"-")</f>
        <v>-</v>
      </c>
      <c r="N1686" s="1"/>
    </row>
    <row r="1687" spans="2:14" x14ac:dyDescent="0.35">
      <c r="B1687" t="str">
        <f t="shared" si="1768"/>
        <v>SPS1</v>
      </c>
      <c r="C1687" t="str">
        <f t="shared" si="1745"/>
        <v>CH</v>
      </c>
      <c r="D1687" t="s">
        <v>1695</v>
      </c>
      <c r="E1687" t="s">
        <v>240</v>
      </c>
      <c r="F1687" s="4">
        <f t="shared" si="1781"/>
        <v>0.98826978015125178</v>
      </c>
      <c r="G1687" s="4">
        <f t="shared" si="1781"/>
        <v>0.98826978015124878</v>
      </c>
      <c r="H1687" s="4">
        <f t="shared" si="1781"/>
        <v>0.98826978015125178</v>
      </c>
      <c r="I1687" s="4">
        <f t="shared" si="1781"/>
        <v>0.988269780151243</v>
      </c>
      <c r="J1687" s="4">
        <f t="shared" si="1781"/>
        <v>0.98826978015124667</v>
      </c>
      <c r="K1687" s="4">
        <f t="shared" si="1781"/>
        <v>0.988269780151249</v>
      </c>
      <c r="L1687" s="4">
        <f t="shared" ref="L1687" si="1784">IFERROR(L1676/L1662,"-")</f>
        <v>0.98826978015125433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34.611737306732131</v>
      </c>
      <c r="G1688" s="3">
        <f t="shared" ref="G1688:K1688" si="1785">SUM(G1689:G1691,G1694:G1696,-G1701)</f>
        <v>32.289657756802093</v>
      </c>
      <c r="H1688" s="3">
        <f t="shared" si="1785"/>
        <v>29.862818890153619</v>
      </c>
      <c r="I1688" s="3">
        <f t="shared" si="1785"/>
        <v>20.84328089657172</v>
      </c>
      <c r="J1688" s="3">
        <f t="shared" si="1785"/>
        <v>14.245571890476645</v>
      </c>
      <c r="K1688" s="3">
        <f t="shared" si="1785"/>
        <v>8.9116327021389186</v>
      </c>
      <c r="L1688" s="3">
        <f t="shared" ref="L1688" si="1786">SUM(L1689:L1691,L1694:L1696,-L1701)</f>
        <v>-1.591409062938713</v>
      </c>
      <c r="N1688" s="1"/>
    </row>
    <row r="1689" spans="2:14" x14ac:dyDescent="0.35">
      <c r="B1689" t="str">
        <f>B1688</f>
        <v>SPS1</v>
      </c>
      <c r="C1689" t="str">
        <f t="shared" ref="C1689" si="1787">C1688</f>
        <v>CH</v>
      </c>
      <c r="D1689" t="s">
        <v>1702</v>
      </c>
      <c r="E1689" t="str">
        <f>E1688</f>
        <v>Mt/yr.</v>
      </c>
      <c r="F1689" s="1">
        <f>[1]Summary!B53+[1]Summary!B59</f>
        <v>2.6050586585891149</v>
      </c>
      <c r="G1689" s="1">
        <f>[1]Summary!C53+[1]Summary!C59</f>
        <v>2.2665629643548408</v>
      </c>
      <c r="H1689" s="1">
        <f>[1]Summary!D53+[1]Summary!D59</f>
        <v>2.2682836639788571</v>
      </c>
      <c r="I1689" s="1">
        <f>[1]Summary!E53+[1]Summary!E59</f>
        <v>2.2575066964956925</v>
      </c>
      <c r="J1689" s="1">
        <f>[2]Summary!F53+[2]Summary!F59</f>
        <v>2.2555099860118042</v>
      </c>
      <c r="K1689" s="1">
        <f>[2]Summary!G53+[2]Summary!G59</f>
        <v>0.80803991926684371</v>
      </c>
      <c r="L1689" s="1">
        <f>[2]Summary!H53+[2]Summary!H59</f>
        <v>-3.2494698662079768</v>
      </c>
      <c r="N1689" s="1"/>
    </row>
    <row r="1690" spans="2:14" x14ac:dyDescent="0.35">
      <c r="B1690" t="str">
        <f t="shared" ref="B1690:B1701" si="1788">B1689</f>
        <v>SPS1</v>
      </c>
      <c r="C1690" t="str">
        <f t="shared" ref="C1690:C1701" si="1789">C1689</f>
        <v>CH</v>
      </c>
      <c r="D1690" t="s">
        <v>1703</v>
      </c>
      <c r="E1690" t="str">
        <f t="shared" ref="E1690:E1701" si="179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-3.041272440676906E-5</v>
      </c>
      <c r="N1690" s="1"/>
    </row>
    <row r="1691" spans="2:14" x14ac:dyDescent="0.35">
      <c r="B1691" t="str">
        <f t="shared" si="1788"/>
        <v>SPS1</v>
      </c>
      <c r="C1691" t="str">
        <f t="shared" si="1789"/>
        <v>CH</v>
      </c>
      <c r="D1691" t="s">
        <v>1704</v>
      </c>
      <c r="E1691" t="str">
        <f t="shared" si="1790"/>
        <v>Mt/yr.</v>
      </c>
      <c r="F1691" s="1">
        <f>[1]Summary!B55+[1]Summary!B60</f>
        <v>6.4927390241030922</v>
      </c>
      <c r="G1691" s="1">
        <f>[1]Summary!C55+[1]Summary!C60</f>
        <v>6.2116377640079552</v>
      </c>
      <c r="H1691" s="1">
        <f>[1]Summary!D55+[1]Summary!D60</f>
        <v>5.674746815017583</v>
      </c>
      <c r="I1691" s="1">
        <f>[1]Summary!E55+[1]Summary!E60</f>
        <v>4.8686697234693108</v>
      </c>
      <c r="J1691" s="1">
        <f>[2]Summary!F55+[2]Summary!F60</f>
        <v>4.0407822978737267</v>
      </c>
      <c r="K1691" s="1">
        <f>[2]Summary!G55+[2]Summary!G60</f>
        <v>3.6000175382820347</v>
      </c>
      <c r="L1691" s="1">
        <f>[2]Summary!H55+[2]Summary!H60</f>
        <v>1.0665650381620386</v>
      </c>
      <c r="N1691" s="1"/>
    </row>
    <row r="1692" spans="2:14" x14ac:dyDescent="0.35">
      <c r="B1692" t="str">
        <f t="shared" si="1788"/>
        <v>SPS1</v>
      </c>
      <c r="C1692" t="str">
        <f t="shared" si="1789"/>
        <v>CH</v>
      </c>
      <c r="D1692" t="s">
        <v>1714</v>
      </c>
      <c r="E1692" t="str">
        <f t="shared" si="1790"/>
        <v>Mt/yr.</v>
      </c>
      <c r="F1692" s="1">
        <f>F1691-F1693</f>
        <v>4.403392223618452</v>
      </c>
      <c r="G1692" s="1">
        <f t="shared" ref="G1692:K1692" si="1791">G1691-G1693</f>
        <v>4.1006245941338744</v>
      </c>
      <c r="H1692" s="1">
        <f t="shared" si="1791"/>
        <v>3.5724773439563231</v>
      </c>
      <c r="I1692" s="1">
        <f t="shared" si="1791"/>
        <v>2.7750123843436705</v>
      </c>
      <c r="J1692" s="1">
        <f t="shared" si="1791"/>
        <v>1.9552470190651063</v>
      </c>
      <c r="K1692" s="1">
        <f t="shared" si="1791"/>
        <v>1.5226598922081807</v>
      </c>
      <c r="L1692" s="1">
        <f t="shared" ref="L1692" si="1792">L1691-L1693</f>
        <v>3.4695906674778509E-2</v>
      </c>
      <c r="N1692" s="1"/>
    </row>
    <row r="1693" spans="2:14" x14ac:dyDescent="0.35">
      <c r="B1693" t="str">
        <f t="shared" si="1788"/>
        <v>SPS1</v>
      </c>
      <c r="C1693" t="str">
        <f t="shared" si="1789"/>
        <v>CH</v>
      </c>
      <c r="D1693" t="s">
        <v>1713</v>
      </c>
      <c r="E1693" t="str">
        <f t="shared" si="179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2.0936573391256403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2.0855352788086203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2.0773576460738541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1.0318691314872601</v>
      </c>
      <c r="N1693" s="1"/>
    </row>
    <row r="1694" spans="2:14" x14ac:dyDescent="0.35">
      <c r="B1694" t="str">
        <f t="shared" si="1788"/>
        <v>SPS1</v>
      </c>
      <c r="C1694" t="str">
        <f t="shared" si="1789"/>
        <v>CH</v>
      </c>
      <c r="D1694" t="s">
        <v>1705</v>
      </c>
      <c r="E1694" t="str">
        <f t="shared" si="1790"/>
        <v>Mt/yr.</v>
      </c>
      <c r="F1694" s="1">
        <f>[1]Summary!B56</f>
        <v>3.7906422823093098</v>
      </c>
      <c r="G1694" s="1">
        <f>[1]Summary!C56</f>
        <v>3.52906982394369</v>
      </c>
      <c r="H1694" s="1">
        <f>[1]Summary!D56</f>
        <v>3.2019158762003297</v>
      </c>
      <c r="I1694" s="1">
        <f>[1]Summary!E56</f>
        <v>1.912459557337588</v>
      </c>
      <c r="J1694" s="1">
        <f>[2]Summary!F56</f>
        <v>1.3142509636129651</v>
      </c>
      <c r="K1694" s="1">
        <f>[2]Summary!G56</f>
        <v>0.64563915561488394</v>
      </c>
      <c r="L1694" s="1">
        <f>[2]Summary!H56</f>
        <v>0.16757575989277093</v>
      </c>
      <c r="N1694" s="1"/>
    </row>
    <row r="1695" spans="2:14" x14ac:dyDescent="0.35">
      <c r="B1695" t="str">
        <f t="shared" si="1788"/>
        <v>SPS1</v>
      </c>
      <c r="C1695" t="str">
        <f t="shared" si="1789"/>
        <v>CH</v>
      </c>
      <c r="D1695" t="s">
        <v>1706</v>
      </c>
      <c r="E1695" t="str">
        <f t="shared" si="1790"/>
        <v>Mt/yr.</v>
      </c>
      <c r="F1695" s="1">
        <f>[1]Summary!B57</f>
        <v>7.1772866241908524</v>
      </c>
      <c r="G1695" s="1">
        <f>[1]Summary!C57</f>
        <v>6.4872463388758863</v>
      </c>
      <c r="H1695" s="1">
        <f>[1]Summary!D57</f>
        <v>6.3091328416667896</v>
      </c>
      <c r="I1695" s="1">
        <f>[1]Summary!E57</f>
        <v>3.6003072757703838</v>
      </c>
      <c r="J1695" s="1">
        <f>[2]Summary!F57</f>
        <v>2.4210892494757301</v>
      </c>
      <c r="K1695" s="1">
        <f>[2]Summary!G57</f>
        <v>1.1480595650569059</v>
      </c>
      <c r="L1695" s="1">
        <f>[2]Summary!H57</f>
        <v>0.407142601948009</v>
      </c>
      <c r="N1695" s="1"/>
    </row>
    <row r="1696" spans="2:14" x14ac:dyDescent="0.35">
      <c r="B1696" t="str">
        <f t="shared" si="1788"/>
        <v>SPS1</v>
      </c>
      <c r="C1696" t="str">
        <f t="shared" si="1789"/>
        <v>CH</v>
      </c>
      <c r="D1696" t="s">
        <v>1707</v>
      </c>
      <c r="E1696" t="str">
        <f t="shared" si="1790"/>
        <v>Mt/yr.</v>
      </c>
      <c r="F1696" s="1">
        <f>[1]Summary!B58</f>
        <v>14.546010717539762</v>
      </c>
      <c r="G1696" s="1">
        <f>[1]Summary!C58</f>
        <v>13.795140865619722</v>
      </c>
      <c r="H1696" s="1">
        <f>[1]Summary!D58</f>
        <v>12.408739693290059</v>
      </c>
      <c r="I1696" s="1">
        <f>[1]Summary!E58</f>
        <v>8.2043376434987429</v>
      </c>
      <c r="J1696" s="1">
        <f>[2]Summary!F58</f>
        <v>4.2139393935024199</v>
      </c>
      <c r="K1696" s="1">
        <f>[2]Summary!G58</f>
        <v>2.7098792500319213</v>
      </c>
      <c r="L1696" s="1">
        <f>[2]Summary!H58</f>
        <v>1.6816668401583808E-2</v>
      </c>
      <c r="N1696" s="1"/>
    </row>
    <row r="1697" spans="2:14" x14ac:dyDescent="0.35">
      <c r="B1697" t="str">
        <f t="shared" si="1788"/>
        <v>SPS1</v>
      </c>
      <c r="C1697" t="str">
        <f t="shared" si="1789"/>
        <v>CH</v>
      </c>
      <c r="D1697" t="s">
        <v>1708</v>
      </c>
      <c r="E1697" t="str">
        <f t="shared" si="179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1.5905878806409575</v>
      </c>
      <c r="L1697" s="1">
        <f>-[2]Summary!H59</f>
        <v>5.5668702474165572</v>
      </c>
      <c r="N1697" s="1"/>
    </row>
    <row r="1698" spans="2:14" x14ac:dyDescent="0.35">
      <c r="B1698" t="str">
        <f t="shared" si="1788"/>
        <v>SPS1</v>
      </c>
      <c r="C1698" t="str">
        <f t="shared" si="1789"/>
        <v>CH</v>
      </c>
      <c r="D1698" t="s">
        <v>1709</v>
      </c>
      <c r="E1698" t="str">
        <f t="shared" si="179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0.23166272966484822</v>
      </c>
      <c r="L1698" s="1">
        <f>-[2]Summary!H60</f>
        <v>1.9838205321305105</v>
      </c>
      <c r="N1698" s="1"/>
    </row>
    <row r="1699" spans="2:14" x14ac:dyDescent="0.35">
      <c r="B1699" t="str">
        <f t="shared" si="1788"/>
        <v>SPS1</v>
      </c>
      <c r="C1699" t="str">
        <f t="shared" si="1789"/>
        <v>CH</v>
      </c>
      <c r="D1699" t="s">
        <v>1710</v>
      </c>
      <c r="E1699" t="str">
        <f t="shared" si="179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3.041272440676906E-5</v>
      </c>
      <c r="N1699" s="1"/>
    </row>
    <row r="1700" spans="2:14" x14ac:dyDescent="0.35">
      <c r="B1700" t="str">
        <f t="shared" si="1788"/>
        <v>SPS1</v>
      </c>
      <c r="C1700" t="str">
        <f t="shared" si="1789"/>
        <v>CH</v>
      </c>
      <c r="D1700" t="s">
        <v>1711</v>
      </c>
      <c r="E1700" t="str">
        <f t="shared" si="179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8"/>
        <v>SPS1</v>
      </c>
      <c r="C1701" t="str">
        <f t="shared" si="1789"/>
        <v>CH</v>
      </c>
      <c r="D1701" t="s">
        <v>1712</v>
      </c>
      <c r="E1701" t="str">
        <f t="shared" si="179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2.7261136708672777E-6</v>
      </c>
      <c r="L1701" s="1">
        <f>-[2]Summary!H63</f>
        <v>8.8524107315973939E-6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3">SUM(G1703:G1705)</f>
        <v>0</v>
      </c>
      <c r="H1702" s="3">
        <f t="shared" si="1793"/>
        <v>0</v>
      </c>
      <c r="I1702" s="3">
        <f t="shared" si="1793"/>
        <v>0</v>
      </c>
      <c r="J1702" s="3">
        <f t="shared" si="1793"/>
        <v>0</v>
      </c>
      <c r="K1702" s="3">
        <f t="shared" si="1793"/>
        <v>0</v>
      </c>
      <c r="L1702" s="3">
        <f t="shared" ref="L1702" si="1794">SUM(L1703:L1705)</f>
        <v>7.5507099545804159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1.9047633561724246</v>
      </c>
      <c r="N1703" s="1"/>
    </row>
    <row r="1704" spans="2:14" x14ac:dyDescent="0.35">
      <c r="B1704" t="str">
        <f t="shared" ref="B1704:B1705" si="1795">B1703</f>
        <v>SPS1</v>
      </c>
      <c r="C1704" t="str">
        <f t="shared" ref="C1704:C1705" si="179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1.7001143491533127E-2</v>
      </c>
      <c r="N1704" s="1"/>
    </row>
    <row r="1705" spans="2:14" x14ac:dyDescent="0.35">
      <c r="B1705" t="str">
        <f t="shared" si="1795"/>
        <v>SPS1</v>
      </c>
      <c r="C1705" t="str">
        <f t="shared" si="179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5.6289454549164581</v>
      </c>
      <c r="N1705" s="1"/>
    </row>
    <row r="1706" spans="2:14" x14ac:dyDescent="0.35">
      <c r="B1706" s="2" t="str">
        <f t="shared" ref="B1706:C1711" si="1797">B1705</f>
        <v>SPS1</v>
      </c>
      <c r="C1706" s="2" t="str">
        <f t="shared" si="1797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7"/>
        <v>SPS1</v>
      </c>
      <c r="C1707" t="str">
        <f t="shared" si="179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8">SUM(G1708:G1709)</f>
        <v>0</v>
      </c>
      <c r="H1707" s="1">
        <f t="shared" si="1798"/>
        <v>0</v>
      </c>
      <c r="I1707" s="1">
        <f t="shared" si="1798"/>
        <v>0</v>
      </c>
      <c r="J1707" s="1">
        <f t="shared" si="1798"/>
        <v>0</v>
      </c>
      <c r="K1707" s="1">
        <f t="shared" si="1798"/>
        <v>2.1906632348801007E-5</v>
      </c>
      <c r="L1707" s="1">
        <f t="shared" ref="L1707" si="1799">SUM(L1708:L1709)</f>
        <v>6.4478928068131854E-5</v>
      </c>
      <c r="N1707" s="1"/>
    </row>
    <row r="1708" spans="2:14" x14ac:dyDescent="0.35">
      <c r="B1708" t="str">
        <f t="shared" si="1797"/>
        <v>SPS1</v>
      </c>
      <c r="C1708" t="str">
        <f t="shared" si="179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3.7802109569359576E-6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8.0556937657536382E-6</v>
      </c>
      <c r="N1708" s="1"/>
    </row>
    <row r="1709" spans="2:14" x14ac:dyDescent="0.35">
      <c r="B1709" t="str">
        <f t="shared" si="1797"/>
        <v>SPS1</v>
      </c>
      <c r="C1709" t="str">
        <f t="shared" si="179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1.8126421391865048E-5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5.6423234302378218E-5</v>
      </c>
      <c r="N1709" s="1"/>
    </row>
    <row r="1710" spans="2:14" x14ac:dyDescent="0.35">
      <c r="B1710" t="str">
        <f t="shared" si="1797"/>
        <v>SPS1</v>
      </c>
      <c r="C1710" t="str">
        <f t="shared" si="179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800">G1701</f>
        <v>0</v>
      </c>
      <c r="H1710" s="1">
        <f t="shared" si="1800"/>
        <v>0</v>
      </c>
      <c r="I1710" s="1">
        <f t="shared" si="1800"/>
        <v>0</v>
      </c>
      <c r="J1710" s="1">
        <f t="shared" si="1800"/>
        <v>0</v>
      </c>
      <c r="K1710" s="1">
        <f t="shared" si="1800"/>
        <v>2.7261136708672777E-6</v>
      </c>
      <c r="L1710" s="1">
        <f t="shared" ref="L1710" si="1801">L1701</f>
        <v>8.8524107315973939E-6</v>
      </c>
      <c r="N1710" s="1"/>
    </row>
    <row r="1711" spans="2:14" x14ac:dyDescent="0.35">
      <c r="B1711" s="2" t="str">
        <f t="shared" si="1797"/>
        <v>SPS1</v>
      </c>
      <c r="C1711" s="2" t="str">
        <f t="shared" si="179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962.56289010301975</v>
      </c>
      <c r="G1711" s="3">
        <f t="shared" ref="G1711:K1711" si="1802">SUM(G1712:G1713,G1730,G1739:G1740,G1741,G1742,G1747,G1750,,G1755:G1758,G1751)</f>
        <v>957.97353764459433</v>
      </c>
      <c r="H1711" s="3">
        <f t="shared" si="1802"/>
        <v>907.77864857264046</v>
      </c>
      <c r="I1711" s="3">
        <f t="shared" si="1802"/>
        <v>835.25478364357184</v>
      </c>
      <c r="J1711" s="3">
        <f t="shared" si="1802"/>
        <v>786.10030022034914</v>
      </c>
      <c r="K1711" s="3">
        <f t="shared" si="1802"/>
        <v>774.1762491909617</v>
      </c>
      <c r="L1711" s="3">
        <f t="shared" ref="L1711" si="1803">SUM(L1712:L1713,L1730,L1739:L1740,L1741,L1742,L1747,L1750,,L1755:L1758,L1751)</f>
        <v>856.83202784395291</v>
      </c>
      <c r="N1711" s="1"/>
    </row>
    <row r="1712" spans="2:14" x14ac:dyDescent="0.35">
      <c r="B1712" t="str">
        <f>B1711</f>
        <v>SPS1</v>
      </c>
      <c r="C1712" t="str">
        <f t="shared" ref="C1712" si="1804">C1711</f>
        <v>CH</v>
      </c>
      <c r="D1712" t="s">
        <v>1738</v>
      </c>
      <c r="E1712" t="str">
        <f>E1711</f>
        <v>PJ/yr.</v>
      </c>
      <c r="F1712" s="1">
        <f t="shared" ref="F1712:K1722" si="1805">F21</f>
        <v>3.6600076133470161</v>
      </c>
      <c r="G1712" s="1">
        <f t="shared" si="1805"/>
        <v>3.5647185818756522</v>
      </c>
      <c r="H1712" s="1">
        <f t="shared" si="1805"/>
        <v>5.4973938361112522E-2</v>
      </c>
      <c r="I1712" s="1">
        <f t="shared" si="1805"/>
        <v>1.0527247038348468E-3</v>
      </c>
      <c r="J1712" s="1">
        <f t="shared" si="1805"/>
        <v>2.6777993659226013E-4</v>
      </c>
      <c r="K1712" s="1">
        <f t="shared" si="1805"/>
        <v>0.65156338870537378</v>
      </c>
      <c r="L1712" s="1">
        <f t="shared" ref="L1712" si="1806">L21</f>
        <v>2.9640435687106753E-4</v>
      </c>
      <c r="N1712" s="1"/>
    </row>
    <row r="1713" spans="2:14" x14ac:dyDescent="0.35">
      <c r="B1713" t="str">
        <f t="shared" ref="B1713:B1765" si="1807">B1712</f>
        <v>SPS1</v>
      </c>
      <c r="C1713" t="str">
        <f t="shared" ref="C1713:C1765" si="1808">C1712</f>
        <v>CH</v>
      </c>
      <c r="D1713" t="s">
        <v>1739</v>
      </c>
      <c r="E1713" t="str">
        <f t="shared" ref="E1713:E1741" si="1809">E1712</f>
        <v>PJ/yr.</v>
      </c>
      <c r="F1713" s="1">
        <f t="shared" si="1805"/>
        <v>310.6188422907415</v>
      </c>
      <c r="G1713" s="1">
        <f t="shared" si="1805"/>
        <v>285.86973425522075</v>
      </c>
      <c r="H1713" s="1">
        <f t="shared" si="1805"/>
        <v>260.96912270732537</v>
      </c>
      <c r="I1713" s="1">
        <f t="shared" si="1805"/>
        <v>166.667128914899</v>
      </c>
      <c r="J1713" s="1">
        <f t="shared" si="1805"/>
        <v>107.61950209761898</v>
      </c>
      <c r="K1713" s="1">
        <f t="shared" si="1805"/>
        <v>84.236369770258449</v>
      </c>
      <c r="L1713" s="1">
        <f t="shared" ref="L1713" si="1810">L22</f>
        <v>81.647570857029805</v>
      </c>
      <c r="N1713" s="1"/>
    </row>
    <row r="1714" spans="2:14" x14ac:dyDescent="0.35">
      <c r="B1714" t="str">
        <f t="shared" si="1807"/>
        <v>SPS1</v>
      </c>
      <c r="C1714" t="str">
        <f t="shared" si="1808"/>
        <v>CH</v>
      </c>
      <c r="D1714" t="s">
        <v>1740</v>
      </c>
      <c r="E1714" t="str">
        <f t="shared" si="1809"/>
        <v>PJ/yr.</v>
      </c>
      <c r="F1714" s="1">
        <f t="shared" si="1805"/>
        <v>303.82415308170494</v>
      </c>
      <c r="G1714" s="1">
        <f t="shared" si="1805"/>
        <v>279.19775903208347</v>
      </c>
      <c r="H1714" s="1">
        <f t="shared" si="1805"/>
        <v>253.20273474693849</v>
      </c>
      <c r="I1714" s="1">
        <f t="shared" si="1805"/>
        <v>154.77553882298315</v>
      </c>
      <c r="J1714" s="1">
        <f t="shared" si="1805"/>
        <v>86.462954168238582</v>
      </c>
      <c r="K1714" s="1">
        <f t="shared" si="1805"/>
        <v>51.779673447976627</v>
      </c>
      <c r="L1714" s="1">
        <f t="shared" ref="L1714" si="1811">L23</f>
        <v>0</v>
      </c>
      <c r="N1714" s="1"/>
    </row>
    <row r="1715" spans="2:14" x14ac:dyDescent="0.35">
      <c r="B1715" t="str">
        <f t="shared" si="1807"/>
        <v>SPS1</v>
      </c>
      <c r="C1715" t="str">
        <f t="shared" si="1808"/>
        <v>CH</v>
      </c>
      <c r="D1715" t="s">
        <v>1741</v>
      </c>
      <c r="E1715" t="str">
        <f t="shared" si="1809"/>
        <v>PJ/yr.</v>
      </c>
      <c r="F1715" s="1">
        <f t="shared" si="1805"/>
        <v>101.75571683158913</v>
      </c>
      <c r="G1715" s="1">
        <f t="shared" si="1805"/>
        <v>88.53250012528818</v>
      </c>
      <c r="H1715" s="1">
        <f t="shared" si="1805"/>
        <v>84.575680528166146</v>
      </c>
      <c r="I1715" s="1">
        <f t="shared" si="1805"/>
        <v>43.1291447502743</v>
      </c>
      <c r="J1715" s="1">
        <f t="shared" si="1805"/>
        <v>29.081889310862266</v>
      </c>
      <c r="K1715" s="1">
        <f t="shared" si="1805"/>
        <v>14.84665048873155</v>
      </c>
      <c r="L1715" s="1">
        <f t="shared" ref="L1715" si="1812">L24</f>
        <v>0</v>
      </c>
      <c r="N1715" s="1"/>
    </row>
    <row r="1716" spans="2:14" x14ac:dyDescent="0.35">
      <c r="B1716" t="str">
        <f t="shared" si="1807"/>
        <v>SPS1</v>
      </c>
      <c r="C1716" t="str">
        <f t="shared" si="1808"/>
        <v>CH</v>
      </c>
      <c r="D1716" t="s">
        <v>1742</v>
      </c>
      <c r="E1716" t="str">
        <f t="shared" si="1809"/>
        <v>PJ/yr.</v>
      </c>
      <c r="F1716" s="1">
        <f t="shared" si="1805"/>
        <v>2.7763749147230832</v>
      </c>
      <c r="G1716" s="1">
        <f t="shared" si="1805"/>
        <v>2.4460036651318813</v>
      </c>
      <c r="H1716" s="1">
        <f t="shared" si="1805"/>
        <v>4.106701765337473E-3</v>
      </c>
      <c r="I1716" s="1">
        <f t="shared" si="1805"/>
        <v>7.3389114231985552E-4</v>
      </c>
      <c r="J1716" s="1">
        <f t="shared" si="1805"/>
        <v>5.493190908135052E-4</v>
      </c>
      <c r="K1716" s="1">
        <f t="shared" si="1805"/>
        <v>2.3405716732132768E-3</v>
      </c>
      <c r="L1716" s="1">
        <f t="shared" ref="L1716" si="1813">L25</f>
        <v>0</v>
      </c>
      <c r="N1716" s="1"/>
    </row>
    <row r="1717" spans="2:14" x14ac:dyDescent="0.35">
      <c r="B1717" t="str">
        <f t="shared" si="1807"/>
        <v>SPS1</v>
      </c>
      <c r="C1717" t="str">
        <f t="shared" si="1808"/>
        <v>CH</v>
      </c>
      <c r="D1717" t="s">
        <v>1743</v>
      </c>
      <c r="E1717" t="str">
        <f t="shared" si="1809"/>
        <v>PJ/yr.</v>
      </c>
      <c r="F1717" s="1">
        <f t="shared" si="1805"/>
        <v>118.02136086279887</v>
      </c>
      <c r="G1717" s="1">
        <f t="shared" si="1805"/>
        <v>112.67289081329531</v>
      </c>
      <c r="H1717" s="1">
        <f t="shared" si="1805"/>
        <v>95.833136669535776</v>
      </c>
      <c r="I1717" s="1">
        <f t="shared" si="1805"/>
        <v>66.372910757396625</v>
      </c>
      <c r="J1717" s="1">
        <f t="shared" si="1805"/>
        <v>37.083139905459859</v>
      </c>
      <c r="K1717" s="1">
        <f t="shared" si="1805"/>
        <v>27.816150741896529</v>
      </c>
      <c r="L1717" s="1">
        <f t="shared" ref="L1717" si="1814">L26</f>
        <v>0</v>
      </c>
      <c r="N1717" s="1"/>
    </row>
    <row r="1718" spans="2:14" x14ac:dyDescent="0.35">
      <c r="B1718" t="str">
        <f t="shared" si="1807"/>
        <v>SPS1</v>
      </c>
      <c r="C1718" t="str">
        <f t="shared" si="1808"/>
        <v>CH</v>
      </c>
      <c r="D1718" t="s">
        <v>1744</v>
      </c>
      <c r="E1718" t="str">
        <f t="shared" si="1809"/>
        <v>PJ/yr.</v>
      </c>
      <c r="F1718" s="1">
        <f t="shared" si="1805"/>
        <v>80.162897171800836</v>
      </c>
      <c r="G1718" s="1">
        <f t="shared" si="1805"/>
        <v>74.141235120800587</v>
      </c>
      <c r="H1718" s="1">
        <f t="shared" si="1805"/>
        <v>70.941915448230887</v>
      </c>
      <c r="I1718" s="1">
        <f t="shared" si="1805"/>
        <v>42.689454944766659</v>
      </c>
      <c r="J1718" s="1">
        <f t="shared" si="1805"/>
        <v>17.709412826377505</v>
      </c>
      <c r="K1718" s="1">
        <f t="shared" si="1805"/>
        <v>6.963517933314848</v>
      </c>
      <c r="L1718" s="1">
        <f t="shared" ref="L1718" si="1815">L27</f>
        <v>0</v>
      </c>
      <c r="N1718" s="1"/>
    </row>
    <row r="1719" spans="2:14" x14ac:dyDescent="0.35">
      <c r="B1719" t="str">
        <f t="shared" si="1807"/>
        <v>SPS1</v>
      </c>
      <c r="C1719" t="str">
        <f t="shared" si="1808"/>
        <v>CH</v>
      </c>
      <c r="D1719" t="s">
        <v>1745</v>
      </c>
      <c r="E1719" t="str">
        <f t="shared" si="1809"/>
        <v>PJ/yr.</v>
      </c>
      <c r="F1719" s="1">
        <f t="shared" si="1805"/>
        <v>1.1078033007930141</v>
      </c>
      <c r="G1719" s="1">
        <f t="shared" si="1805"/>
        <v>1.4051293075674922</v>
      </c>
      <c r="H1719" s="1">
        <f t="shared" si="1805"/>
        <v>1.8478953992403317</v>
      </c>
      <c r="I1719" s="1">
        <f t="shared" si="1805"/>
        <v>2.583294479403254</v>
      </c>
      <c r="J1719" s="1">
        <f t="shared" si="1805"/>
        <v>2.5879628064481404</v>
      </c>
      <c r="K1719" s="1">
        <f t="shared" si="1805"/>
        <v>2.1510137123604878</v>
      </c>
      <c r="L1719" s="1">
        <f t="shared" ref="L1719" si="1816">L28</f>
        <v>0</v>
      </c>
      <c r="N1719" s="1"/>
    </row>
    <row r="1720" spans="2:14" x14ac:dyDescent="0.35">
      <c r="B1720" t="str">
        <f t="shared" si="1807"/>
        <v>SPS1</v>
      </c>
      <c r="C1720" t="str">
        <f t="shared" si="1808"/>
        <v>CH</v>
      </c>
      <c r="D1720" t="s">
        <v>1746</v>
      </c>
      <c r="E1720" t="str">
        <f t="shared" si="1809"/>
        <v>PJ/yr.</v>
      </c>
      <c r="F1720" s="1">
        <f t="shared" si="1805"/>
        <v>6.7946892090365472</v>
      </c>
      <c r="G1720" s="1">
        <f t="shared" si="1805"/>
        <v>6.6719752231372595</v>
      </c>
      <c r="H1720" s="1">
        <f t="shared" si="1805"/>
        <v>7.7663879603868562</v>
      </c>
      <c r="I1720" s="1">
        <f t="shared" si="1805"/>
        <v>11.891590091915837</v>
      </c>
      <c r="J1720" s="1">
        <f t="shared" si="1805"/>
        <v>21.156547929380402</v>
      </c>
      <c r="K1720" s="1">
        <f t="shared" si="1805"/>
        <v>32.456696322281815</v>
      </c>
      <c r="L1720" s="1">
        <f t="shared" ref="L1720" si="1817">L29</f>
        <v>81.647570857029805</v>
      </c>
      <c r="N1720" s="1"/>
    </row>
    <row r="1721" spans="2:14" x14ac:dyDescent="0.35">
      <c r="B1721" t="str">
        <f t="shared" si="1807"/>
        <v>SPS1</v>
      </c>
      <c r="C1721" t="str">
        <f t="shared" si="1808"/>
        <v>CH</v>
      </c>
      <c r="D1721" t="s">
        <v>1747</v>
      </c>
      <c r="E1721" t="str">
        <f t="shared" si="1809"/>
        <v>PJ/yr.</v>
      </c>
      <c r="F1721" s="1">
        <f t="shared" si="1805"/>
        <v>2.3589789319279117</v>
      </c>
      <c r="G1721" s="1">
        <f t="shared" si="1805"/>
        <v>2.3779261535037022</v>
      </c>
      <c r="H1721" s="1">
        <f t="shared" si="1805"/>
        <v>3.8651796932590994</v>
      </c>
      <c r="I1721" s="1">
        <f t="shared" si="1805"/>
        <v>4.40286430881621</v>
      </c>
      <c r="J1721" s="1">
        <f t="shared" si="1805"/>
        <v>3.6491925410615771</v>
      </c>
      <c r="K1721" s="1">
        <f t="shared" si="1805"/>
        <v>3.6502130821285945</v>
      </c>
      <c r="L1721" s="1">
        <f t="shared" ref="L1721" si="1818">L30</f>
        <v>3.1146550727882101</v>
      </c>
      <c r="N1721" s="1"/>
    </row>
    <row r="1722" spans="2:14" x14ac:dyDescent="0.35">
      <c r="B1722" t="str">
        <f t="shared" si="1807"/>
        <v>SPS1</v>
      </c>
      <c r="C1722" t="str">
        <f t="shared" si="1808"/>
        <v>CH</v>
      </c>
      <c r="D1722" t="s">
        <v>1748</v>
      </c>
      <c r="E1722" t="str">
        <f t="shared" si="1809"/>
        <v>PJ/yr.</v>
      </c>
      <c r="F1722" s="1">
        <f t="shared" si="1805"/>
        <v>4.434150414358708</v>
      </c>
      <c r="G1722" s="1">
        <f t="shared" si="1805"/>
        <v>4.2939626316965818</v>
      </c>
      <c r="H1722" s="1">
        <f t="shared" si="1805"/>
        <v>3.9001596957830569</v>
      </c>
      <c r="I1722" s="1">
        <f t="shared" si="1805"/>
        <v>2.4724733989232108</v>
      </c>
      <c r="J1722" s="1">
        <f t="shared" si="1805"/>
        <v>1.0260228698292468</v>
      </c>
      <c r="K1722" s="1">
        <f t="shared" si="1805"/>
        <v>0.99829868041823822</v>
      </c>
      <c r="L1722" s="1">
        <f t="shared" ref="L1722" si="1819">L31</f>
        <v>0.91999887324786545</v>
      </c>
      <c r="N1722" s="1"/>
    </row>
    <row r="1723" spans="2:14" x14ac:dyDescent="0.35">
      <c r="B1723" t="str">
        <f t="shared" si="1807"/>
        <v>SPS1</v>
      </c>
      <c r="C1723" t="str">
        <f t="shared" si="1808"/>
        <v>CH</v>
      </c>
      <c r="D1723" t="s">
        <v>1749</v>
      </c>
      <c r="E1723" t="str">
        <f t="shared" si="1809"/>
        <v>PJ/yr.</v>
      </c>
      <c r="F1723" s="1">
        <f t="shared" ref="F1723:K1725" si="1820">F33</f>
        <v>6.7946892090365472</v>
      </c>
      <c r="G1723" s="1">
        <f t="shared" si="1820"/>
        <v>6.6719752231372595</v>
      </c>
      <c r="H1723" s="1">
        <f t="shared" si="1820"/>
        <v>7.7663879603868562</v>
      </c>
      <c r="I1723" s="1">
        <f t="shared" si="1820"/>
        <v>11.891590091915837</v>
      </c>
      <c r="J1723" s="1">
        <f t="shared" si="1820"/>
        <v>9.6914677950672399</v>
      </c>
      <c r="K1723" s="1">
        <f t="shared" si="1820"/>
        <v>21.129844281036409</v>
      </c>
      <c r="L1723" s="1">
        <f t="shared" ref="L1723" si="1821">L33</f>
        <v>31.842838505771059</v>
      </c>
      <c r="N1723" s="1"/>
    </row>
    <row r="1724" spans="2:14" x14ac:dyDescent="0.35">
      <c r="B1724" t="str">
        <f t="shared" si="1807"/>
        <v>SPS1</v>
      </c>
      <c r="C1724" t="str">
        <f t="shared" si="1808"/>
        <v>CH</v>
      </c>
      <c r="D1724" t="s">
        <v>1750</v>
      </c>
      <c r="E1724" t="str">
        <f t="shared" si="1809"/>
        <v>PJ/yr.</v>
      </c>
      <c r="F1724" s="1">
        <f t="shared" si="1820"/>
        <v>2.3589789319279117</v>
      </c>
      <c r="G1724" s="1">
        <f t="shared" si="1820"/>
        <v>2.3779261535037022</v>
      </c>
      <c r="H1724" s="1">
        <f t="shared" si="1820"/>
        <v>3.8651796932590994</v>
      </c>
      <c r="I1724" s="1">
        <f t="shared" si="1820"/>
        <v>4.40286430881621</v>
      </c>
      <c r="J1724" s="1">
        <f t="shared" si="1820"/>
        <v>3.6491925410615771</v>
      </c>
      <c r="K1724" s="1">
        <f t="shared" si="1820"/>
        <v>3.6502130821285945</v>
      </c>
      <c r="L1724" s="1">
        <f t="shared" ref="L1724" si="1822">L34</f>
        <v>3.1146550727882101</v>
      </c>
      <c r="N1724" s="1"/>
    </row>
    <row r="1725" spans="2:14" x14ac:dyDescent="0.35">
      <c r="B1725" t="str">
        <f t="shared" si="1807"/>
        <v>SPS1</v>
      </c>
      <c r="C1725" t="str">
        <f t="shared" si="1808"/>
        <v>CH</v>
      </c>
      <c r="D1725" t="s">
        <v>1751</v>
      </c>
      <c r="E1725" t="str">
        <f t="shared" si="1809"/>
        <v>PJ/yr.</v>
      </c>
      <c r="F1725" s="1">
        <f t="shared" si="1820"/>
        <v>4.434150414358708</v>
      </c>
      <c r="G1725" s="1">
        <f t="shared" si="1820"/>
        <v>4.2939626316965818</v>
      </c>
      <c r="H1725" s="1">
        <f t="shared" si="1820"/>
        <v>3.9001596957830569</v>
      </c>
      <c r="I1725" s="1">
        <f t="shared" si="1820"/>
        <v>2.4724733989232108</v>
      </c>
      <c r="J1725" s="1">
        <f t="shared" si="1820"/>
        <v>1.0260228698292468</v>
      </c>
      <c r="K1725" s="1">
        <f t="shared" si="1820"/>
        <v>0.99829868041823822</v>
      </c>
      <c r="L1725" s="1">
        <f t="shared" ref="L1725" si="1823">L35</f>
        <v>0.91999887324786545</v>
      </c>
      <c r="N1725" s="1"/>
    </row>
    <row r="1726" spans="2:14" x14ac:dyDescent="0.35">
      <c r="B1726" t="str">
        <f t="shared" si="1807"/>
        <v>SPS1</v>
      </c>
      <c r="C1726" t="str">
        <f t="shared" si="1808"/>
        <v>CH</v>
      </c>
      <c r="D1726" t="s">
        <v>1752</v>
      </c>
      <c r="E1726" t="str">
        <f t="shared" si="1809"/>
        <v>PJ/yr.</v>
      </c>
      <c r="F1726" s="1">
        <f t="shared" ref="F1726:K1739" si="1824">F37</f>
        <v>0</v>
      </c>
      <c r="G1726" s="1">
        <f t="shared" si="1824"/>
        <v>0</v>
      </c>
      <c r="H1726" s="1">
        <f t="shared" si="1824"/>
        <v>0</v>
      </c>
      <c r="I1726" s="1">
        <f t="shared" si="1824"/>
        <v>0</v>
      </c>
      <c r="J1726" s="1">
        <f t="shared" si="1824"/>
        <v>11.465080134313162</v>
      </c>
      <c r="K1726" s="1">
        <f t="shared" si="1824"/>
        <v>11.326852041245406</v>
      </c>
      <c r="L1726" s="1">
        <f t="shared" ref="L1726" si="1825">L37</f>
        <v>49.80473235125875</v>
      </c>
      <c r="N1726" s="1"/>
    </row>
    <row r="1727" spans="2:14" x14ac:dyDescent="0.35">
      <c r="B1727" t="str">
        <f t="shared" si="1807"/>
        <v>SPS1</v>
      </c>
      <c r="C1727" t="str">
        <f t="shared" si="1808"/>
        <v>CH</v>
      </c>
      <c r="D1727" t="s">
        <v>1753</v>
      </c>
      <c r="E1727" t="str">
        <f t="shared" si="1809"/>
        <v>PJ/yr.</v>
      </c>
      <c r="F1727" s="1">
        <f t="shared" si="1824"/>
        <v>0</v>
      </c>
      <c r="G1727" s="1">
        <f t="shared" si="1824"/>
        <v>0</v>
      </c>
      <c r="H1727" s="1">
        <f t="shared" si="1824"/>
        <v>0</v>
      </c>
      <c r="I1727" s="1">
        <f t="shared" si="1824"/>
        <v>0</v>
      </c>
      <c r="J1727" s="1">
        <f t="shared" si="1824"/>
        <v>0</v>
      </c>
      <c r="K1727" s="1">
        <f t="shared" si="1824"/>
        <v>0</v>
      </c>
      <c r="L1727" s="1">
        <f t="shared" ref="L1727" si="1826">L38</f>
        <v>0</v>
      </c>
      <c r="N1727" s="1"/>
    </row>
    <row r="1728" spans="2:14" x14ac:dyDescent="0.35">
      <c r="B1728" t="str">
        <f t="shared" si="1807"/>
        <v>SPS1</v>
      </c>
      <c r="C1728" t="str">
        <f t="shared" si="1808"/>
        <v>CH</v>
      </c>
      <c r="D1728" t="s">
        <v>1754</v>
      </c>
      <c r="E1728" t="str">
        <f t="shared" si="1809"/>
        <v>PJ/yr.</v>
      </c>
      <c r="F1728" s="1">
        <f t="shared" si="1824"/>
        <v>0</v>
      </c>
      <c r="G1728" s="1">
        <f t="shared" si="1824"/>
        <v>0</v>
      </c>
      <c r="H1728" s="1">
        <f t="shared" si="1824"/>
        <v>0</v>
      </c>
      <c r="I1728" s="1">
        <f t="shared" si="1824"/>
        <v>0</v>
      </c>
      <c r="J1728" s="1">
        <f t="shared" si="1824"/>
        <v>0</v>
      </c>
      <c r="K1728" s="1">
        <f t="shared" si="1824"/>
        <v>0</v>
      </c>
      <c r="L1728" s="1">
        <f t="shared" ref="L1728" si="1827">L39</f>
        <v>0</v>
      </c>
      <c r="N1728" s="1"/>
    </row>
    <row r="1729" spans="2:14" x14ac:dyDescent="0.35">
      <c r="B1729" t="str">
        <f t="shared" si="1807"/>
        <v>SPS1</v>
      </c>
      <c r="C1729" t="str">
        <f t="shared" si="1808"/>
        <v>CH</v>
      </c>
      <c r="D1729" t="s">
        <v>1755</v>
      </c>
      <c r="E1729" t="str">
        <f t="shared" si="1809"/>
        <v>PJ/yr.</v>
      </c>
      <c r="F1729" s="1">
        <f t="shared" si="1824"/>
        <v>0</v>
      </c>
      <c r="G1729" s="1">
        <f t="shared" si="1824"/>
        <v>0</v>
      </c>
      <c r="H1729" s="1">
        <f t="shared" si="1824"/>
        <v>0</v>
      </c>
      <c r="I1729" s="1">
        <f t="shared" si="1824"/>
        <v>0</v>
      </c>
      <c r="J1729" s="1">
        <f t="shared" si="1824"/>
        <v>11.465080134313162</v>
      </c>
      <c r="K1729" s="1">
        <f t="shared" si="1824"/>
        <v>11.326852041245406</v>
      </c>
      <c r="L1729" s="1">
        <f t="shared" ref="L1729" si="1828">L40</f>
        <v>49.80473235125875</v>
      </c>
      <c r="N1729" s="1"/>
    </row>
    <row r="1730" spans="2:14" x14ac:dyDescent="0.35">
      <c r="B1730" t="str">
        <f t="shared" si="1807"/>
        <v>SPS1</v>
      </c>
      <c r="C1730" t="str">
        <f t="shared" si="1808"/>
        <v>CH</v>
      </c>
      <c r="D1730" t="s">
        <v>1756</v>
      </c>
      <c r="E1730" t="str">
        <f t="shared" si="1809"/>
        <v>PJ/yr.</v>
      </c>
      <c r="F1730" s="1">
        <f t="shared" si="1824"/>
        <v>117.15976749455412</v>
      </c>
      <c r="G1730" s="1">
        <f t="shared" si="1824"/>
        <v>107.2365007664997</v>
      </c>
      <c r="H1730" s="1">
        <f t="shared" si="1824"/>
        <v>104.56775421809458</v>
      </c>
      <c r="I1730" s="1">
        <f t="shared" si="1824"/>
        <v>76.748450188333578</v>
      </c>
      <c r="J1730" s="1">
        <f t="shared" si="1824"/>
        <v>51.351821912688841</v>
      </c>
      <c r="K1730" s="1">
        <f t="shared" si="1824"/>
        <v>32.682097900829817</v>
      </c>
      <c r="L1730" s="1">
        <f t="shared" ref="L1730" si="1829">L41</f>
        <v>12.948027543649305</v>
      </c>
      <c r="N1730" s="1"/>
    </row>
    <row r="1731" spans="2:14" x14ac:dyDescent="0.35">
      <c r="B1731" t="str">
        <f t="shared" si="1807"/>
        <v>SPS1</v>
      </c>
      <c r="C1731" t="str">
        <f t="shared" si="1808"/>
        <v>CH</v>
      </c>
      <c r="D1731" t="s">
        <v>1757</v>
      </c>
      <c r="E1731" t="str">
        <f t="shared" si="1809"/>
        <v>PJ/yr.</v>
      </c>
      <c r="F1731" s="1">
        <f t="shared" si="1824"/>
        <v>117.15976749455412</v>
      </c>
      <c r="G1731" s="1">
        <f t="shared" si="1824"/>
        <v>106.72000044170612</v>
      </c>
      <c r="H1731" s="1">
        <f t="shared" si="1824"/>
        <v>103.7806712895097</v>
      </c>
      <c r="I1731" s="1">
        <f t="shared" si="1824"/>
        <v>72.940579807761196</v>
      </c>
      <c r="J1731" s="1">
        <f t="shared" si="1824"/>
        <v>45.421319960270274</v>
      </c>
      <c r="K1731" s="1">
        <f t="shared" si="1824"/>
        <v>26.725434044483688</v>
      </c>
      <c r="L1731" s="1">
        <f t="shared" ref="L1731" si="1830">L42</f>
        <v>10.201734632326364</v>
      </c>
      <c r="N1731" s="1"/>
    </row>
    <row r="1732" spans="2:14" x14ac:dyDescent="0.35">
      <c r="B1732" t="str">
        <f t="shared" si="1807"/>
        <v>SPS1</v>
      </c>
      <c r="C1732" t="str">
        <f t="shared" si="1808"/>
        <v>CH</v>
      </c>
      <c r="D1732" t="s">
        <v>1758</v>
      </c>
      <c r="E1732" t="str">
        <f t="shared" si="1809"/>
        <v>PJ/yr.</v>
      </c>
      <c r="F1732" s="1">
        <f t="shared" si="1824"/>
        <v>117.15976749455412</v>
      </c>
      <c r="G1732" s="1">
        <f t="shared" si="1824"/>
        <v>106.72000044170612</v>
      </c>
      <c r="H1732" s="1">
        <f t="shared" si="1824"/>
        <v>103.7806712895097</v>
      </c>
      <c r="I1732" s="1">
        <f t="shared" si="1824"/>
        <v>72.939768068016818</v>
      </c>
      <c r="J1732" s="1">
        <f t="shared" si="1824"/>
        <v>45.42093944269913</v>
      </c>
      <c r="K1732" s="1">
        <f t="shared" si="1824"/>
        <v>26.725073675349602</v>
      </c>
      <c r="L1732" s="1">
        <f t="shared" ref="L1732" si="1831">L43</f>
        <v>10.200778509430545</v>
      </c>
      <c r="N1732" s="1"/>
    </row>
    <row r="1733" spans="2:14" x14ac:dyDescent="0.35">
      <c r="B1733" t="str">
        <f t="shared" si="1807"/>
        <v>SPS1</v>
      </c>
      <c r="C1733" t="str">
        <f t="shared" si="1808"/>
        <v>CH</v>
      </c>
      <c r="D1733" t="s">
        <v>1759</v>
      </c>
      <c r="E1733" t="str">
        <f t="shared" si="1809"/>
        <v>PJ/yr.</v>
      </c>
      <c r="F1733" s="1">
        <f t="shared" si="1824"/>
        <v>0</v>
      </c>
      <c r="G1733" s="1">
        <f t="shared" si="1824"/>
        <v>0</v>
      </c>
      <c r="H1733" s="1">
        <f t="shared" si="1824"/>
        <v>0</v>
      </c>
      <c r="I1733" s="1">
        <f t="shared" si="1824"/>
        <v>8.1173974437481744E-4</v>
      </c>
      <c r="J1733" s="1">
        <f t="shared" si="1824"/>
        <v>3.8051757114420986E-4</v>
      </c>
      <c r="K1733" s="1">
        <f t="shared" si="1824"/>
        <v>3.6036913408411846E-4</v>
      </c>
      <c r="L1733" s="1">
        <f t="shared" ref="L1733" si="1832">L44</f>
        <v>9.5612289581754374E-4</v>
      </c>
      <c r="N1733" s="1"/>
    </row>
    <row r="1734" spans="2:14" x14ac:dyDescent="0.35">
      <c r="B1734" t="str">
        <f t="shared" si="1807"/>
        <v>SPS1</v>
      </c>
      <c r="C1734" t="str">
        <f t="shared" si="1808"/>
        <v>CH</v>
      </c>
      <c r="D1734" t="s">
        <v>1760</v>
      </c>
      <c r="E1734" t="str">
        <f t="shared" si="1809"/>
        <v>PJ/yr.</v>
      </c>
      <c r="F1734" s="1">
        <f t="shared" si="1824"/>
        <v>0</v>
      </c>
      <c r="G1734" s="1">
        <f t="shared" si="1824"/>
        <v>0.51650032479358865</v>
      </c>
      <c r="H1734" s="1">
        <f t="shared" si="1824"/>
        <v>0.78708292858487594</v>
      </c>
      <c r="I1734" s="1">
        <f t="shared" si="1824"/>
        <v>3.8078703805723748</v>
      </c>
      <c r="J1734" s="1">
        <f t="shared" si="1824"/>
        <v>5.9305019524185649</v>
      </c>
      <c r="K1734" s="1">
        <f t="shared" si="1824"/>
        <v>5.9566638563461272</v>
      </c>
      <c r="L1734" s="1">
        <f t="shared" ref="L1734" si="1833">L45</f>
        <v>2.7462929113229411</v>
      </c>
      <c r="N1734" s="1"/>
    </row>
    <row r="1735" spans="2:14" x14ac:dyDescent="0.35">
      <c r="B1735" t="str">
        <f t="shared" si="1807"/>
        <v>SPS1</v>
      </c>
      <c r="C1735" t="str">
        <f t="shared" si="1808"/>
        <v>CH</v>
      </c>
      <c r="D1735" t="s">
        <v>1761</v>
      </c>
      <c r="E1735" t="str">
        <f t="shared" si="1809"/>
        <v>PJ/yr.</v>
      </c>
      <c r="F1735" s="1">
        <f t="shared" si="1824"/>
        <v>0</v>
      </c>
      <c r="G1735" s="1">
        <f t="shared" si="1824"/>
        <v>0.51650032479358865</v>
      </c>
      <c r="H1735" s="1">
        <f t="shared" si="1824"/>
        <v>0.78708292858487594</v>
      </c>
      <c r="I1735" s="1">
        <f t="shared" si="1824"/>
        <v>3.8078703805723748</v>
      </c>
      <c r="J1735" s="1">
        <f t="shared" si="1824"/>
        <v>3.8078703805723748</v>
      </c>
      <c r="K1735" s="1">
        <f t="shared" si="1824"/>
        <v>5.9305019524185649</v>
      </c>
      <c r="L1735" s="1">
        <f t="shared" ref="L1735" si="1834">L46</f>
        <v>2.7462929113229411</v>
      </c>
      <c r="N1735" s="1"/>
    </row>
    <row r="1736" spans="2:14" x14ac:dyDescent="0.35">
      <c r="B1736" t="str">
        <f t="shared" si="1807"/>
        <v>SPS1</v>
      </c>
      <c r="C1736" t="str">
        <f t="shared" si="1808"/>
        <v>CH</v>
      </c>
      <c r="D1736" t="s">
        <v>1762</v>
      </c>
      <c r="E1736" t="str">
        <f t="shared" si="1809"/>
        <v>PJ/yr.</v>
      </c>
      <c r="F1736" s="1">
        <f t="shared" si="1824"/>
        <v>0</v>
      </c>
      <c r="G1736" s="1">
        <f t="shared" si="1824"/>
        <v>0.51650032479358865</v>
      </c>
      <c r="H1736" s="1">
        <f t="shared" si="1824"/>
        <v>0.78708292858487594</v>
      </c>
      <c r="I1736" s="1">
        <f t="shared" si="1824"/>
        <v>3.8078703805723748</v>
      </c>
      <c r="J1736" s="1">
        <f t="shared" si="1824"/>
        <v>3.8078703805723748</v>
      </c>
      <c r="K1736" s="1">
        <f t="shared" si="1824"/>
        <v>5.9305019524185649</v>
      </c>
      <c r="L1736" s="1">
        <f t="shared" ref="L1736" si="1835">L47</f>
        <v>2.7462929113229411</v>
      </c>
      <c r="N1736" s="1"/>
    </row>
    <row r="1737" spans="2:14" x14ac:dyDescent="0.35">
      <c r="B1737" t="str">
        <f t="shared" si="1807"/>
        <v>SPS1</v>
      </c>
      <c r="C1737" t="str">
        <f t="shared" si="1808"/>
        <v>CH</v>
      </c>
      <c r="D1737" t="s">
        <v>1763</v>
      </c>
      <c r="E1737" t="str">
        <f t="shared" si="1809"/>
        <v>PJ/yr.</v>
      </c>
      <c r="F1737" s="1">
        <f t="shared" si="1824"/>
        <v>0</v>
      </c>
      <c r="G1737" s="1">
        <f t="shared" si="1824"/>
        <v>0</v>
      </c>
      <c r="H1737" s="1">
        <f t="shared" si="1824"/>
        <v>0</v>
      </c>
      <c r="I1737" s="1">
        <f t="shared" si="1824"/>
        <v>0</v>
      </c>
      <c r="J1737" s="1">
        <f t="shared" si="1824"/>
        <v>2.1226315718461901</v>
      </c>
      <c r="K1737" s="1">
        <f t="shared" si="1824"/>
        <v>2.6161903927562236E-2</v>
      </c>
      <c r="L1737" s="1">
        <f t="shared" ref="L1737" si="1836">L48</f>
        <v>0</v>
      </c>
      <c r="N1737" s="1"/>
    </row>
    <row r="1738" spans="2:14" x14ac:dyDescent="0.35">
      <c r="B1738" t="str">
        <f t="shared" si="1807"/>
        <v>SPS1</v>
      </c>
      <c r="C1738" t="str">
        <f t="shared" si="1808"/>
        <v>CH</v>
      </c>
      <c r="D1738" t="s">
        <v>1764</v>
      </c>
      <c r="E1738" t="str">
        <f t="shared" si="1809"/>
        <v>PJ/yr.</v>
      </c>
      <c r="F1738" s="1">
        <f t="shared" si="1824"/>
        <v>0</v>
      </c>
      <c r="G1738" s="1">
        <f t="shared" si="1824"/>
        <v>0</v>
      </c>
      <c r="H1738" s="1">
        <f t="shared" si="1824"/>
        <v>0</v>
      </c>
      <c r="I1738" s="1">
        <f t="shared" si="1824"/>
        <v>0</v>
      </c>
      <c r="J1738" s="1">
        <f t="shared" si="1824"/>
        <v>2.1226315718461901</v>
      </c>
      <c r="K1738" s="1">
        <f t="shared" si="1824"/>
        <v>2.6161903927562236E-2</v>
      </c>
      <c r="L1738" s="1">
        <f t="shared" ref="L1738" si="1837">L49</f>
        <v>0</v>
      </c>
      <c r="N1738" s="1"/>
    </row>
    <row r="1739" spans="2:14" x14ac:dyDescent="0.35">
      <c r="B1739" t="str">
        <f t="shared" si="1807"/>
        <v>SPS1</v>
      </c>
      <c r="C1739" t="str">
        <f t="shared" si="1808"/>
        <v>CH</v>
      </c>
      <c r="D1739" t="s">
        <v>1765</v>
      </c>
      <c r="E1739" t="str">
        <f t="shared" si="1809"/>
        <v>PJ/yr.</v>
      </c>
      <c r="F1739" s="1">
        <f t="shared" si="1824"/>
        <v>250.94818946672058</v>
      </c>
      <c r="G1739" s="1">
        <f t="shared" si="1824"/>
        <v>253.29988506627492</v>
      </c>
      <c r="H1739" s="1">
        <f t="shared" si="1824"/>
        <v>232.95381994855765</v>
      </c>
      <c r="I1739" s="1">
        <f t="shared" si="1824"/>
        <v>210.9902588219237</v>
      </c>
      <c r="J1739" s="1">
        <f t="shared" si="1824"/>
        <v>190.50116506642982</v>
      </c>
      <c r="K1739" s="1">
        <f t="shared" si="1824"/>
        <v>190.50117069540971</v>
      </c>
      <c r="L1739" s="1">
        <f t="shared" ref="L1739" si="1838">L50</f>
        <v>285.77958126335932</v>
      </c>
      <c r="N1739" s="1"/>
    </row>
    <row r="1740" spans="2:14" x14ac:dyDescent="0.35">
      <c r="B1740" t="str">
        <f t="shared" si="1807"/>
        <v>SPS1</v>
      </c>
      <c r="C1740" t="str">
        <f t="shared" si="1808"/>
        <v>CH</v>
      </c>
      <c r="D1740" t="s">
        <v>1766</v>
      </c>
      <c r="E1740" t="str">
        <f t="shared" si="1809"/>
        <v>PJ/yr.</v>
      </c>
      <c r="F1740" s="1">
        <f t="shared" ref="F1740:K1740" si="1839">-F58+F51</f>
        <v>-20.010002021061908</v>
      </c>
      <c r="G1740" s="1">
        <f t="shared" si="1839"/>
        <v>15.158614499283424</v>
      </c>
      <c r="H1740" s="1">
        <f t="shared" si="1839"/>
        <v>-22.488986991576951</v>
      </c>
      <c r="I1740" s="1">
        <f t="shared" si="1839"/>
        <v>-18.830190969310607</v>
      </c>
      <c r="J1740" s="1">
        <f t="shared" si="1839"/>
        <v>15.309752790277045</v>
      </c>
      <c r="K1740" s="1">
        <f t="shared" si="1839"/>
        <v>18.620972624670358</v>
      </c>
      <c r="L1740" s="1">
        <f t="shared" ref="L1740" si="1840">-L58+L51</f>
        <v>4.3881039515306135</v>
      </c>
      <c r="N1740" s="1"/>
    </row>
    <row r="1741" spans="2:14" x14ac:dyDescent="0.35">
      <c r="B1741" t="str">
        <f t="shared" si="1807"/>
        <v>SPS1</v>
      </c>
      <c r="C1741" t="str">
        <f t="shared" si="1808"/>
        <v>CH</v>
      </c>
      <c r="D1741" t="s">
        <v>1767</v>
      </c>
      <c r="E1741" t="str">
        <f t="shared" si="1809"/>
        <v>PJ/yr.</v>
      </c>
      <c r="F1741" s="1">
        <f t="shared" ref="F1741:K1741" si="1841">F56</f>
        <v>0</v>
      </c>
      <c r="G1741" s="1">
        <f t="shared" si="1841"/>
        <v>0</v>
      </c>
      <c r="H1741" s="1">
        <f t="shared" si="1841"/>
        <v>0</v>
      </c>
      <c r="I1741" s="1">
        <f t="shared" si="1841"/>
        <v>0</v>
      </c>
      <c r="J1741" s="1">
        <f t="shared" si="1841"/>
        <v>0</v>
      </c>
      <c r="K1741" s="1">
        <f t="shared" si="1841"/>
        <v>3.1175002270564613</v>
      </c>
      <c r="L1741" s="1">
        <f t="shared" ref="L1741" si="1842">L56</f>
        <v>3.1175009709531154</v>
      </c>
      <c r="N1741" s="1"/>
    </row>
    <row r="1742" spans="2:14" x14ac:dyDescent="0.35">
      <c r="B1742" t="str">
        <f t="shared" si="1807"/>
        <v>SPS1</v>
      </c>
      <c r="C1742" t="str">
        <f t="shared" si="1808"/>
        <v>CH</v>
      </c>
      <c r="D1742" t="s">
        <v>1769</v>
      </c>
      <c r="E1742" t="str">
        <f t="shared" ref="E1742:K1751" si="1843">E3</f>
        <v>PJ/yr.</v>
      </c>
      <c r="F1742" s="1">
        <f t="shared" si="1843"/>
        <v>44.972435036322395</v>
      </c>
      <c r="G1742" s="1">
        <f t="shared" si="1843"/>
        <v>48.190474936972819</v>
      </c>
      <c r="H1742" s="1">
        <f t="shared" si="1843"/>
        <v>49.768347685383006</v>
      </c>
      <c r="I1742" s="1">
        <f t="shared" si="1843"/>
        <v>49.76847966243723</v>
      </c>
      <c r="J1742" s="1">
        <f t="shared" si="1843"/>
        <v>51.347318226765339</v>
      </c>
      <c r="K1742" s="1">
        <f t="shared" si="1843"/>
        <v>51.347318906753998</v>
      </c>
      <c r="L1742" s="1">
        <f t="shared" ref="L1742" si="1844">L3</f>
        <v>51.347318935866141</v>
      </c>
      <c r="N1742" s="1"/>
    </row>
    <row r="1743" spans="2:14" x14ac:dyDescent="0.35">
      <c r="B1743" t="str">
        <f t="shared" si="1807"/>
        <v>SPS1</v>
      </c>
      <c r="C1743" t="str">
        <f t="shared" si="1808"/>
        <v>CH</v>
      </c>
      <c r="D1743" t="s">
        <v>1770</v>
      </c>
      <c r="E1743" t="str">
        <f t="shared" si="1843"/>
        <v>PJ/yr.</v>
      </c>
      <c r="F1743" s="1">
        <f t="shared" si="1843"/>
        <v>11.111878547547727</v>
      </c>
      <c r="G1743" s="1">
        <f t="shared" si="1843"/>
        <v>11.95288628103493</v>
      </c>
      <c r="H1743" s="1">
        <f t="shared" si="1843"/>
        <v>13.21439331295667</v>
      </c>
      <c r="I1743" s="1">
        <f t="shared" si="1843"/>
        <v>15.316911318714144</v>
      </c>
      <c r="J1743" s="1">
        <f t="shared" si="1843"/>
        <v>15.849139590184555</v>
      </c>
      <c r="K1743" s="1">
        <f t="shared" si="1843"/>
        <v>16.266396919958851</v>
      </c>
      <c r="L1743" s="1">
        <f t="shared" ref="L1743" si="1845">L4</f>
        <v>16.95699467200815</v>
      </c>
      <c r="N1743" s="1"/>
    </row>
    <row r="1744" spans="2:14" x14ac:dyDescent="0.35">
      <c r="B1744" t="str">
        <f t="shared" si="1807"/>
        <v>SPS1</v>
      </c>
      <c r="C1744" t="str">
        <f t="shared" si="1808"/>
        <v>CH</v>
      </c>
      <c r="D1744" t="s">
        <v>1771</v>
      </c>
      <c r="E1744" t="str">
        <f t="shared" si="1843"/>
        <v>PJ/yr.</v>
      </c>
      <c r="F1744" s="1">
        <f t="shared" si="1843"/>
        <v>7.5116716224354203</v>
      </c>
      <c r="G1744" s="1">
        <f t="shared" si="1843"/>
        <v>7.543144084538147</v>
      </c>
      <c r="H1744" s="1">
        <f t="shared" si="1843"/>
        <v>7.590348187396585</v>
      </c>
      <c r="I1744" s="1">
        <f t="shared" si="1843"/>
        <v>7.6690269584215116</v>
      </c>
      <c r="J1744" s="1">
        <f t="shared" si="1843"/>
        <v>7.6690267405428489</v>
      </c>
      <c r="K1744" s="1">
        <f t="shared" si="1843"/>
        <v>7.6690271400498915</v>
      </c>
      <c r="L1744" s="1">
        <f t="shared" ref="L1744" si="1846">L5</f>
        <v>7.6690274181911402</v>
      </c>
      <c r="N1744" s="1"/>
    </row>
    <row r="1745" spans="2:14" x14ac:dyDescent="0.35">
      <c r="B1745" t="str">
        <f t="shared" si="1807"/>
        <v>SPS1</v>
      </c>
      <c r="C1745" t="str">
        <f t="shared" si="1808"/>
        <v>CH</v>
      </c>
      <c r="D1745" t="s">
        <v>1772</v>
      </c>
      <c r="E1745" t="str">
        <f t="shared" si="1843"/>
        <v>PJ/yr.</v>
      </c>
      <c r="F1745" s="1">
        <f t="shared" si="1843"/>
        <v>3.168245391696475</v>
      </c>
      <c r="G1745" s="1">
        <f t="shared" si="1843"/>
        <v>3.495672889927893</v>
      </c>
      <c r="H1745" s="1">
        <f t="shared" si="1843"/>
        <v>3.9868143719520486</v>
      </c>
      <c r="I1745" s="1">
        <f t="shared" si="1843"/>
        <v>4.8053861177913157</v>
      </c>
      <c r="J1745" s="1">
        <f t="shared" si="1843"/>
        <v>4.8053858634506561</v>
      </c>
      <c r="K1745" s="1">
        <f t="shared" si="1843"/>
        <v>4.8053863659903202</v>
      </c>
      <c r="L1745" s="1">
        <f t="shared" ref="L1745" si="1847">L6</f>
        <v>4.8053861876806963</v>
      </c>
      <c r="N1745" s="1"/>
    </row>
    <row r="1746" spans="2:14" x14ac:dyDescent="0.35">
      <c r="B1746" t="str">
        <f t="shared" si="1807"/>
        <v>SPS1</v>
      </c>
      <c r="C1746" t="str">
        <f t="shared" si="1808"/>
        <v>CH</v>
      </c>
      <c r="D1746" t="s">
        <v>1773</v>
      </c>
      <c r="E1746" t="str">
        <f t="shared" si="1843"/>
        <v>PJ/yr.</v>
      </c>
      <c r="F1746" s="1">
        <f t="shared" si="1843"/>
        <v>23.180639474642774</v>
      </c>
      <c r="G1746" s="1">
        <f t="shared" si="1843"/>
        <v>25.198771681471847</v>
      </c>
      <c r="H1746" s="1">
        <f t="shared" si="1843"/>
        <v>24.976791813077703</v>
      </c>
      <c r="I1746" s="1">
        <f t="shared" si="1843"/>
        <v>21.977155267510255</v>
      </c>
      <c r="J1746" s="1">
        <f t="shared" si="1843"/>
        <v>23.023766032587282</v>
      </c>
      <c r="K1746" s="1">
        <f t="shared" si="1843"/>
        <v>22.60650848075494</v>
      </c>
      <c r="L1746" s="1">
        <f t="shared" ref="L1746" si="1848">L7</f>
        <v>21.915910657986156</v>
      </c>
      <c r="N1746" s="1"/>
    </row>
    <row r="1747" spans="2:14" x14ac:dyDescent="0.35">
      <c r="B1747" t="str">
        <f t="shared" si="1807"/>
        <v>SPS1</v>
      </c>
      <c r="C1747" t="str">
        <f t="shared" si="1808"/>
        <v>CH</v>
      </c>
      <c r="D1747" t="s">
        <v>1774</v>
      </c>
      <c r="E1747" t="str">
        <f t="shared" si="1843"/>
        <v>PJ/yr.</v>
      </c>
      <c r="F1747" s="1">
        <f t="shared" si="1843"/>
        <v>70.031517150567737</v>
      </c>
      <c r="G1747" s="1">
        <f t="shared" si="1843"/>
        <v>70.097157853916258</v>
      </c>
      <c r="H1747" s="1">
        <f t="shared" si="1843"/>
        <v>69.498225229629725</v>
      </c>
      <c r="I1747" s="1">
        <f t="shared" si="1843"/>
        <v>71.102491773561155</v>
      </c>
      <c r="J1747" s="1">
        <f t="shared" si="1843"/>
        <v>72.390907792961528</v>
      </c>
      <c r="K1747" s="1">
        <f t="shared" si="1843"/>
        <v>72.856974478161945</v>
      </c>
      <c r="L1747" s="1">
        <f t="shared" ref="L1747" si="1849">L8</f>
        <v>73.056517729991768</v>
      </c>
      <c r="N1747" s="1"/>
    </row>
    <row r="1748" spans="2:14" x14ac:dyDescent="0.35">
      <c r="B1748" t="str">
        <f t="shared" si="1807"/>
        <v>SPS1</v>
      </c>
      <c r="C1748" t="str">
        <f t="shared" si="1808"/>
        <v>CH</v>
      </c>
      <c r="D1748" t="s">
        <v>1775</v>
      </c>
      <c r="E1748" t="str">
        <f t="shared" si="1843"/>
        <v>PJ/yr.</v>
      </c>
      <c r="F1748" s="1">
        <f t="shared" si="1843"/>
        <v>35.931077297064711</v>
      </c>
      <c r="G1748" s="1">
        <f t="shared" si="1843"/>
        <v>35.882385651782826</v>
      </c>
      <c r="H1748" s="1">
        <f t="shared" si="1843"/>
        <v>35.283441839682261</v>
      </c>
      <c r="I1748" s="1">
        <f t="shared" si="1843"/>
        <v>35.060088143644727</v>
      </c>
      <c r="J1748" s="1">
        <f t="shared" si="1843"/>
        <v>34.937585344433401</v>
      </c>
      <c r="K1748" s="1">
        <f t="shared" si="1843"/>
        <v>35.403643505638776</v>
      </c>
      <c r="L1748" s="1">
        <f t="shared" ref="L1748" si="1850">L9</f>
        <v>35.603182408287772</v>
      </c>
      <c r="N1748" s="1"/>
    </row>
    <row r="1749" spans="2:14" x14ac:dyDescent="0.35">
      <c r="B1749" t="str">
        <f t="shared" si="1807"/>
        <v>SPS1</v>
      </c>
      <c r="C1749" t="str">
        <f t="shared" si="1808"/>
        <v>CH</v>
      </c>
      <c r="D1749" t="s">
        <v>1776</v>
      </c>
      <c r="E1749" t="str">
        <f t="shared" si="1843"/>
        <v>PJ/yr.</v>
      </c>
      <c r="F1749" s="1">
        <f t="shared" si="1843"/>
        <v>34.100439853503033</v>
      </c>
      <c r="G1749" s="1">
        <f t="shared" si="1843"/>
        <v>34.214772202133425</v>
      </c>
      <c r="H1749" s="1">
        <f t="shared" si="1843"/>
        <v>34.214783389947463</v>
      </c>
      <c r="I1749" s="1">
        <f t="shared" si="1843"/>
        <v>36.042403629916436</v>
      </c>
      <c r="J1749" s="1">
        <f t="shared" si="1843"/>
        <v>37.453322448528127</v>
      </c>
      <c r="K1749" s="1">
        <f t="shared" si="1843"/>
        <v>37.453330972523169</v>
      </c>
      <c r="L1749" s="1">
        <f t="shared" ref="L1749" si="1851">L10</f>
        <v>37.453335321703996</v>
      </c>
      <c r="N1749" s="1"/>
    </row>
    <row r="1750" spans="2:14" x14ac:dyDescent="0.35">
      <c r="B1750" t="str">
        <f t="shared" si="1807"/>
        <v>SPS1</v>
      </c>
      <c r="C1750" t="str">
        <f t="shared" si="1808"/>
        <v>CH</v>
      </c>
      <c r="D1750" t="s">
        <v>1777</v>
      </c>
      <c r="E1750" t="str">
        <f t="shared" si="1843"/>
        <v>PJ/yr.</v>
      </c>
      <c r="F1750" s="1">
        <f t="shared" si="1843"/>
        <v>3.798091949303426</v>
      </c>
      <c r="G1750" s="1">
        <f t="shared" si="1843"/>
        <v>10.103738166172031</v>
      </c>
      <c r="H1750" s="1">
        <f t="shared" si="1843"/>
        <v>12.540177973050511</v>
      </c>
      <c r="I1750" s="1">
        <f t="shared" si="1843"/>
        <v>12.540421597216916</v>
      </c>
      <c r="J1750" s="1">
        <f t="shared" si="1843"/>
        <v>12.540429083180546</v>
      </c>
      <c r="K1750" s="1">
        <f t="shared" si="1843"/>
        <v>14.633301323128487</v>
      </c>
      <c r="L1750" s="1">
        <f t="shared" ref="L1750" si="1852">L11</f>
        <v>26.817097116465753</v>
      </c>
      <c r="N1750" s="1"/>
    </row>
    <row r="1751" spans="2:14" x14ac:dyDescent="0.35">
      <c r="B1751" t="str">
        <f t="shared" si="1807"/>
        <v>SPS1</v>
      </c>
      <c r="C1751" t="str">
        <f t="shared" si="1808"/>
        <v>CH</v>
      </c>
      <c r="D1751" t="s">
        <v>1778</v>
      </c>
      <c r="E1751" t="str">
        <f t="shared" si="1843"/>
        <v>PJ/yr.</v>
      </c>
      <c r="F1751" s="1">
        <f t="shared" si="1843"/>
        <v>149.43048395881004</v>
      </c>
      <c r="G1751" s="1">
        <f t="shared" si="1843"/>
        <v>125.60698324405315</v>
      </c>
      <c r="H1751" s="1">
        <f t="shared" si="1843"/>
        <v>137.14139880288545</v>
      </c>
      <c r="I1751" s="1">
        <f t="shared" si="1843"/>
        <v>151.25678959878701</v>
      </c>
      <c r="J1751" s="1">
        <f t="shared" si="1843"/>
        <v>151.28651888256937</v>
      </c>
      <c r="K1751" s="1">
        <f t="shared" si="1843"/>
        <v>151.324738900429</v>
      </c>
      <c r="L1751" s="1">
        <f t="shared" ref="L1751" si="1853">L12</f>
        <v>151.4012935535776</v>
      </c>
      <c r="N1751" s="1"/>
    </row>
    <row r="1752" spans="2:14" x14ac:dyDescent="0.35">
      <c r="B1752" t="str">
        <f t="shared" si="1807"/>
        <v>SPS1</v>
      </c>
      <c r="C1752" t="str">
        <f t="shared" si="1808"/>
        <v>CH</v>
      </c>
      <c r="D1752" t="s">
        <v>1779</v>
      </c>
      <c r="E1752" t="str">
        <f t="shared" ref="E1752:K1758" si="1854">E13</f>
        <v>PJ/yr.</v>
      </c>
      <c r="F1752" s="1">
        <f t="shared" si="1854"/>
        <v>66.745680112610472</v>
      </c>
      <c r="G1752" s="1">
        <f t="shared" si="1854"/>
        <v>49.798797638350962</v>
      </c>
      <c r="H1752" s="1">
        <f t="shared" si="1854"/>
        <v>69.090669467554392</v>
      </c>
      <c r="I1752" s="1">
        <f t="shared" si="1854"/>
        <v>70.809472620928375</v>
      </c>
      <c r="J1752" s="1">
        <f t="shared" si="1854"/>
        <v>71.582529759456136</v>
      </c>
      <c r="K1752" s="1">
        <f t="shared" si="1854"/>
        <v>72.666766131941159</v>
      </c>
      <c r="L1752" s="1">
        <f t="shared" ref="L1752" si="1855">L13</f>
        <v>74.835911068843586</v>
      </c>
      <c r="N1752" s="1"/>
    </row>
    <row r="1753" spans="2:14" x14ac:dyDescent="0.35">
      <c r="B1753" t="str">
        <f t="shared" si="1807"/>
        <v>SPS1</v>
      </c>
      <c r="C1753" t="str">
        <f t="shared" si="1808"/>
        <v>CH</v>
      </c>
      <c r="D1753" t="s">
        <v>1780</v>
      </c>
      <c r="E1753" t="str">
        <f t="shared" si="1854"/>
        <v>PJ/yr.</v>
      </c>
      <c r="F1753" s="1">
        <f t="shared" si="1854"/>
        <v>66.632401302559771</v>
      </c>
      <c r="G1753" s="1">
        <f t="shared" si="1854"/>
        <v>55.763999499234785</v>
      </c>
      <c r="H1753" s="1">
        <f t="shared" si="1854"/>
        <v>65.55693882909793</v>
      </c>
      <c r="I1753" s="1">
        <f t="shared" si="1854"/>
        <v>64.509539778207909</v>
      </c>
      <c r="J1753" s="1">
        <f t="shared" si="1854"/>
        <v>63.734799571754991</v>
      </c>
      <c r="K1753" s="1">
        <f t="shared" si="1854"/>
        <v>62.650564855208074</v>
      </c>
      <c r="L1753" s="1">
        <f t="shared" ref="L1753" si="1856">L14</f>
        <v>60.481420553458335</v>
      </c>
      <c r="N1753" s="1"/>
    </row>
    <row r="1754" spans="2:14" x14ac:dyDescent="0.35">
      <c r="B1754" t="str">
        <f t="shared" si="1807"/>
        <v>SPS1</v>
      </c>
      <c r="C1754" t="str">
        <f t="shared" si="1808"/>
        <v>CH</v>
      </c>
      <c r="D1754" t="s">
        <v>1781</v>
      </c>
      <c r="E1754" t="str">
        <f t="shared" si="1854"/>
        <v>PJ/yr.</v>
      </c>
      <c r="F1754" s="1">
        <f t="shared" si="1854"/>
        <v>16.052402543639801</v>
      </c>
      <c r="G1754" s="1">
        <f t="shared" si="1854"/>
        <v>20.044186106467407</v>
      </c>
      <c r="H1754" s="1">
        <f t="shared" si="1854"/>
        <v>2.4937905062331391</v>
      </c>
      <c r="I1754" s="1">
        <f t="shared" si="1854"/>
        <v>15.937777199650721</v>
      </c>
      <c r="J1754" s="1">
        <f t="shared" si="1854"/>
        <v>15.96918955135825</v>
      </c>
      <c r="K1754" s="1">
        <f t="shared" si="1854"/>
        <v>16.00740791327976</v>
      </c>
      <c r="L1754" s="1">
        <f t="shared" ref="L1754" si="1857">L15</f>
        <v>16.083961931275677</v>
      </c>
      <c r="N1754" s="1"/>
    </row>
    <row r="1755" spans="2:14" x14ac:dyDescent="0.35">
      <c r="B1755" t="str">
        <f t="shared" si="1807"/>
        <v>SPS1</v>
      </c>
      <c r="C1755" t="str">
        <f t="shared" si="1808"/>
        <v>CH</v>
      </c>
      <c r="D1755" t="s">
        <v>1782</v>
      </c>
      <c r="E1755" t="str">
        <f t="shared" si="1854"/>
        <v>PJ/yr.</v>
      </c>
      <c r="F1755" s="1">
        <f t="shared" si="1854"/>
        <v>12.556476983150077</v>
      </c>
      <c r="G1755" s="1">
        <f t="shared" si="1854"/>
        <v>16.522291880887948</v>
      </c>
      <c r="H1755" s="1">
        <f t="shared" si="1854"/>
        <v>30.431207350638559</v>
      </c>
      <c r="I1755" s="1">
        <f t="shared" si="1854"/>
        <v>52.839375045989406</v>
      </c>
      <c r="J1755" s="1">
        <f t="shared" si="1854"/>
        <v>56.60366819269948</v>
      </c>
      <c r="K1755" s="1">
        <f t="shared" si="1854"/>
        <v>60.991146672485911</v>
      </c>
      <c r="L1755" s="1">
        <f t="shared" ref="L1755" si="1858">L16</f>
        <v>66.822361123847642</v>
      </c>
      <c r="N1755" s="1"/>
    </row>
    <row r="1756" spans="2:14" x14ac:dyDescent="0.35">
      <c r="B1756" t="str">
        <f t="shared" si="1807"/>
        <v>SPS1</v>
      </c>
      <c r="C1756" t="str">
        <f t="shared" si="1808"/>
        <v>CH</v>
      </c>
      <c r="D1756" t="s">
        <v>1783</v>
      </c>
      <c r="E1756" t="str">
        <f t="shared" si="1854"/>
        <v>PJ/yr.</v>
      </c>
      <c r="F1756" s="1">
        <f t="shared" si="1854"/>
        <v>0.52400705162755912</v>
      </c>
      <c r="G1756" s="1">
        <f t="shared" si="1854"/>
        <v>0.54529350454171022</v>
      </c>
      <c r="H1756" s="1">
        <f t="shared" si="1854"/>
        <v>0.5031661036118501</v>
      </c>
      <c r="I1756" s="1">
        <f t="shared" si="1854"/>
        <v>2.0502672024973938</v>
      </c>
      <c r="J1756" s="1">
        <f t="shared" si="1854"/>
        <v>0.8800399761858867</v>
      </c>
      <c r="K1756" s="1">
        <f t="shared" si="1854"/>
        <v>0.88004881608948282</v>
      </c>
      <c r="L1756" s="1">
        <f t="shared" ref="L1756" si="1859">L17</f>
        <v>0.88004978127155831</v>
      </c>
      <c r="N1756" s="1"/>
    </row>
    <row r="1757" spans="2:14" x14ac:dyDescent="0.35">
      <c r="B1757" t="str">
        <f t="shared" si="1807"/>
        <v>SPS1</v>
      </c>
      <c r="C1757" t="str">
        <f t="shared" si="1808"/>
        <v>CH</v>
      </c>
      <c r="D1757" t="s">
        <v>1784</v>
      </c>
      <c r="E1757" t="str">
        <f t="shared" si="1854"/>
        <v>PJ/yr.</v>
      </c>
      <c r="F1757" s="1">
        <f t="shared" si="1854"/>
        <v>18.873073128937065</v>
      </c>
      <c r="G1757" s="1">
        <f t="shared" si="1854"/>
        <v>21.778144888896051</v>
      </c>
      <c r="H1757" s="1">
        <f t="shared" si="1854"/>
        <v>31.839441606679685</v>
      </c>
      <c r="I1757" s="1">
        <f t="shared" si="1854"/>
        <v>60.120259082533238</v>
      </c>
      <c r="J1757" s="1">
        <f t="shared" si="1854"/>
        <v>76.268908419035768</v>
      </c>
      <c r="K1757" s="1">
        <f t="shared" si="1854"/>
        <v>92.328645104487279</v>
      </c>
      <c r="L1757" s="1">
        <f t="shared" ref="L1757" si="1860">L18</f>
        <v>98.605535733833605</v>
      </c>
      <c r="N1757" s="1"/>
    </row>
    <row r="1758" spans="2:14" x14ac:dyDescent="0.35">
      <c r="B1758" t="str">
        <f t="shared" si="1807"/>
        <v>SPS1</v>
      </c>
      <c r="C1758" t="str">
        <f t="shared" si="1808"/>
        <v>CH</v>
      </c>
      <c r="D1758" t="s">
        <v>1785</v>
      </c>
      <c r="E1758" t="str">
        <f t="shared" si="1854"/>
        <v>PJ/yr.</v>
      </c>
      <c r="F1758" s="1">
        <f t="shared" si="1854"/>
        <v>0</v>
      </c>
      <c r="G1758" s="1">
        <f t="shared" si="1854"/>
        <v>0</v>
      </c>
      <c r="H1758" s="1">
        <f t="shared" si="1854"/>
        <v>0</v>
      </c>
      <c r="I1758" s="1">
        <f t="shared" si="1854"/>
        <v>0</v>
      </c>
      <c r="J1758" s="1">
        <f t="shared" si="1854"/>
        <v>0</v>
      </c>
      <c r="K1758" s="1">
        <f t="shared" si="1854"/>
        <v>4.4003824955617466E-3</v>
      </c>
      <c r="L1758" s="1">
        <f t="shared" ref="L1758" si="1861">L19</f>
        <v>2.0772878219816677E-2</v>
      </c>
      <c r="N1758" s="1"/>
    </row>
    <row r="1759" spans="2:14" x14ac:dyDescent="0.35">
      <c r="B1759" s="9" t="str">
        <f t="shared" si="1807"/>
        <v>SPS1</v>
      </c>
      <c r="C1759" s="2" t="str">
        <f t="shared" si="1808"/>
        <v>CH</v>
      </c>
      <c r="D1759" s="2" t="s">
        <v>1788</v>
      </c>
      <c r="E1759" s="2" t="s">
        <v>1857</v>
      </c>
      <c r="F1759" s="3">
        <f t="shared" ref="F1759:K1759" si="1862">SUM(F1760,F1762,F1766,F1770,F1786,F1793,F1801,F1803,F1811,F1815,F1809)</f>
        <v>22.340396442474471</v>
      </c>
      <c r="G1759" s="3">
        <f t="shared" si="1862"/>
        <v>24.357108581457624</v>
      </c>
      <c r="H1759" s="3">
        <f t="shared" si="1862"/>
        <v>29.807673264933751</v>
      </c>
      <c r="I1759" s="3">
        <f t="shared" si="1862"/>
        <v>35.60369195913713</v>
      </c>
      <c r="J1759" s="3">
        <f t="shared" si="1862"/>
        <v>36.299353735063058</v>
      </c>
      <c r="K1759" s="3">
        <f t="shared" si="1862"/>
        <v>37.642703605037468</v>
      </c>
      <c r="L1759" s="3">
        <f t="shared" ref="L1759" si="1863">SUM(L1760,L1762,L1766,L1770,L1786,L1793,L1801,L1803,L1811,L1815,L1809)</f>
        <v>40.929877798989899</v>
      </c>
      <c r="N1759" s="1"/>
    </row>
    <row r="1760" spans="2:14" x14ac:dyDescent="0.35">
      <c r="B1760" s="5" t="str">
        <f t="shared" si="1807"/>
        <v>SPS1</v>
      </c>
      <c r="C1760" s="5" t="str">
        <f t="shared" si="1808"/>
        <v>CH</v>
      </c>
      <c r="D1760" t="s">
        <v>1790</v>
      </c>
      <c r="E1760" t="str">
        <f>E1759</f>
        <v>GWe/yr.</v>
      </c>
      <c r="F1760" s="1">
        <f>+F1761</f>
        <v>3.0805586627635488</v>
      </c>
      <c r="G1760" s="1">
        <f t="shared" ref="G1760:L1760" si="1864">+G1761</f>
        <v>3.0805583384938005</v>
      </c>
      <c r="H1760" s="1">
        <f t="shared" si="1864"/>
        <v>2.8402406802836504</v>
      </c>
      <c r="I1760" s="1">
        <f t="shared" si="1864"/>
        <v>2.6090413436622204</v>
      </c>
      <c r="J1760" s="1">
        <f t="shared" si="1864"/>
        <v>2.3634664470881357</v>
      </c>
      <c r="K1760" s="1">
        <f t="shared" si="1864"/>
        <v>2.36346646375977</v>
      </c>
      <c r="L1760" s="1">
        <f t="shared" si="1864"/>
        <v>3.6720167513992212</v>
      </c>
      <c r="N1760" s="1"/>
    </row>
    <row r="1761" spans="2:14" x14ac:dyDescent="0.35">
      <c r="B1761" s="5" t="str">
        <f t="shared" si="1807"/>
        <v>SPS1</v>
      </c>
      <c r="C1761" s="5" t="str">
        <f t="shared" si="1808"/>
        <v>CH</v>
      </c>
      <c r="D1761" t="s">
        <v>1791</v>
      </c>
      <c r="E1761" t="str">
        <f t="shared" ref="E1761:E1822" si="1865">E1760</f>
        <v>GWe/yr.</v>
      </c>
      <c r="F1761" s="1">
        <f>'[1]Electricity and CHPs_CAP'!B$14</f>
        <v>3.0805586627635488</v>
      </c>
      <c r="G1761" s="1">
        <f>'[1]Electricity and CHPs_CAP'!C$14</f>
        <v>3.0805583384938005</v>
      </c>
      <c r="H1761" s="1">
        <f>'[1]Electricity and CHPs_CAP'!D$14</f>
        <v>2.8402406802836504</v>
      </c>
      <c r="I1761" s="1">
        <f>'[1]Electricity and CHPs_CAP'!E$14</f>
        <v>2.6090413436622204</v>
      </c>
      <c r="J1761" s="1">
        <f>'[2]Electricity and CHPs_CAP'!F$14</f>
        <v>2.3634664470881357</v>
      </c>
      <c r="K1761" s="1">
        <f>'[2]Electricity and CHPs_CAP'!G$14</f>
        <v>2.36346646375977</v>
      </c>
      <c r="L1761" s="1">
        <f>'[2]Electricity and CHPs_CAP'!H$14</f>
        <v>3.6720167513992212</v>
      </c>
      <c r="N1761" s="1"/>
    </row>
    <row r="1762" spans="2:14" x14ac:dyDescent="0.35">
      <c r="B1762" s="5" t="str">
        <f t="shared" si="1807"/>
        <v>SPS1</v>
      </c>
      <c r="C1762" s="5" t="str">
        <f t="shared" si="1808"/>
        <v>CH</v>
      </c>
      <c r="D1762" t="s">
        <v>1792</v>
      </c>
      <c r="E1762" t="str">
        <f t="shared" si="1865"/>
        <v>GWe/yr.</v>
      </c>
      <c r="F1762" s="1">
        <f>SUM(F1763:F1765)</f>
        <v>15.403610001059999</v>
      </c>
      <c r="G1762" s="1">
        <f t="shared" ref="G1762:K1762" si="1866">SUM(G1763:G1765)</f>
        <v>16.121225270466404</v>
      </c>
      <c r="H1762" s="1">
        <f t="shared" si="1866"/>
        <v>16.612343913144187</v>
      </c>
      <c r="I1762" s="1">
        <f t="shared" si="1866"/>
        <v>16.647148960358582</v>
      </c>
      <c r="J1762" s="1">
        <f t="shared" si="1866"/>
        <v>16.685855331758937</v>
      </c>
      <c r="K1762" s="1">
        <f t="shared" si="1866"/>
        <v>16.725518586661721</v>
      </c>
      <c r="L1762" s="1">
        <f t="shared" ref="L1762" si="1867">SUM(L1763:L1765)</f>
        <v>16.944433960546732</v>
      </c>
      <c r="N1762" s="1"/>
    </row>
    <row r="1763" spans="2:14" x14ac:dyDescent="0.35">
      <c r="B1763" s="5" t="str">
        <f t="shared" si="1807"/>
        <v>SPS1</v>
      </c>
      <c r="C1763" s="5" t="str">
        <f t="shared" si="1808"/>
        <v>CH</v>
      </c>
      <c r="D1763" t="s">
        <v>1793</v>
      </c>
      <c r="E1763" t="str">
        <f t="shared" si="1865"/>
        <v>GWe/yr.</v>
      </c>
      <c r="F1763" s="1">
        <f>'[1]Electricity and CHPs_CAP'!B$15</f>
        <v>7.3394300010600002</v>
      </c>
      <c r="G1763" s="1">
        <f>'[1]Electricity and CHPs_CAP'!C$15</f>
        <v>7.3422440907967568</v>
      </c>
      <c r="H1763" s="1">
        <f>'[1]Electricity and CHPs_CAP'!D$15</f>
        <v>7.3876415056033293</v>
      </c>
      <c r="I1763" s="1">
        <f>'[1]Electricity and CHPs_CAP'!E$15</f>
        <v>7.4151452580208446</v>
      </c>
      <c r="J1763" s="1">
        <f>'[2]Electricity and CHPs_CAP'!F$15</f>
        <v>7.4298012487284346</v>
      </c>
      <c r="K1763" s="1">
        <f>'[2]Electricity and CHPs_CAP'!G$15</f>
        <v>7.4694642610342639</v>
      </c>
      <c r="L1763" s="1">
        <f>'[2]Electricity and CHPs_CAP'!H$15</f>
        <v>7.68837871003067</v>
      </c>
      <c r="N1763" s="1"/>
    </row>
    <row r="1764" spans="2:14" x14ac:dyDescent="0.35">
      <c r="B1764" s="5" t="str">
        <f t="shared" si="1807"/>
        <v>SPS1</v>
      </c>
      <c r="C1764" s="5" t="str">
        <f t="shared" si="1808"/>
        <v>CH</v>
      </c>
      <c r="D1764" t="s">
        <v>1794</v>
      </c>
      <c r="E1764" t="str">
        <f t="shared" si="1865"/>
        <v>GWe/yr.</v>
      </c>
      <c r="F1764" s="1">
        <f>'[1]Electricity and CHPs_CAP'!B$16</f>
        <v>4.7247299999999992</v>
      </c>
      <c r="G1764" s="1">
        <f>'[1]Electricity and CHPs_CAP'!C$16</f>
        <v>4.8076724486492042</v>
      </c>
      <c r="H1764" s="1">
        <f>'[1]Electricity and CHPs_CAP'!D$16</f>
        <v>4.8649726226414653</v>
      </c>
      <c r="I1764" s="1">
        <f>'[1]Electricity and CHPs_CAP'!E$16</f>
        <v>4.8722739174383447</v>
      </c>
      <c r="J1764" s="1">
        <f>'[2]Electricity and CHPs_CAP'!F$16</f>
        <v>4.8964504093748591</v>
      </c>
      <c r="K1764" s="1">
        <f>'[2]Electricity and CHPs_CAP'!G$16</f>
        <v>4.8964506056881376</v>
      </c>
      <c r="L1764" s="1">
        <f>'[2]Electricity and CHPs_CAP'!H$16</f>
        <v>4.8964513522582127</v>
      </c>
      <c r="N1764" s="1"/>
    </row>
    <row r="1765" spans="2:14" x14ac:dyDescent="0.35">
      <c r="B1765" s="5" t="str">
        <f t="shared" si="1807"/>
        <v>SPS1</v>
      </c>
      <c r="C1765" s="5" t="str">
        <f t="shared" si="1808"/>
        <v>CH</v>
      </c>
      <c r="D1765" t="s">
        <v>1795</v>
      </c>
      <c r="E1765" t="str">
        <f t="shared" si="1865"/>
        <v>GWe/yr.</v>
      </c>
      <c r="F1765" s="1">
        <f>'[1]Electricity and CHPs_CAP'!B$17</f>
        <v>3.3394499999999998</v>
      </c>
      <c r="G1765" s="1">
        <f>'[1]Electricity and CHPs_CAP'!C$17</f>
        <v>3.9713087310204425</v>
      </c>
      <c r="H1765" s="1">
        <f>'[1]Electricity and CHPs_CAP'!D$17</f>
        <v>4.3597297848993923</v>
      </c>
      <c r="I1765" s="1">
        <f>'[1]Electricity and CHPs_CAP'!E$17</f>
        <v>4.3597297848993923</v>
      </c>
      <c r="J1765" s="1">
        <f>'[2]Electricity and CHPs_CAP'!F$17</f>
        <v>4.3596036736556432</v>
      </c>
      <c r="K1765" s="1">
        <f>'[2]Electricity and CHPs_CAP'!G$17</f>
        <v>4.3596037199393205</v>
      </c>
      <c r="L1765" s="1">
        <f>'[2]Electricity and CHPs_CAP'!H$17</f>
        <v>4.3596038982578484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5"/>
        <v>GWe/yr.</v>
      </c>
      <c r="F1766" s="1">
        <f>SUM(F1767:F1769)</f>
        <v>3.8208823398465264E-2</v>
      </c>
      <c r="G1766" s="1">
        <f t="shared" ref="G1766:K1766" si="1868">SUM(G1767:G1769)</f>
        <v>4.1599708276928951E-2</v>
      </c>
      <c r="H1766" s="1">
        <f t="shared" si="1868"/>
        <v>3.3173743545318372E-2</v>
      </c>
      <c r="I1766" s="1">
        <f t="shared" si="1868"/>
        <v>5.9276360722297437E-2</v>
      </c>
      <c r="J1766" s="1">
        <f t="shared" si="1868"/>
        <v>5.4291589012916634E-2</v>
      </c>
      <c r="K1766" s="1">
        <f t="shared" si="1868"/>
        <v>5.9951348004099042E-2</v>
      </c>
      <c r="L1766" s="1">
        <f t="shared" ref="L1766" si="1869">SUM(L1767:L1769)</f>
        <v>2.0294894090403245E-2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5"/>
        <v>GWe/yr.</v>
      </c>
      <c r="F1767" s="1">
        <f>'[1]Electricity and CHPs_CAP'!B$18</f>
        <v>2.0373562600045303E-2</v>
      </c>
      <c r="G1767" s="1">
        <f>'[1]Electricity and CHPs_CAP'!C$18</f>
        <v>1.9302959985420851E-2</v>
      </c>
      <c r="H1767" s="1">
        <f>'[1]Electricity and CHPs_CAP'!D$18</f>
        <v>1.0947053177234274E-2</v>
      </c>
      <c r="I1767" s="1">
        <f>'[1]Electricity and CHPs_CAP'!E$18</f>
        <v>3.7187376708758602E-2</v>
      </c>
      <c r="J1767" s="1">
        <f>'[2]Electricity and CHPs_CAP'!F$18</f>
        <v>4.3503509462158932E-2</v>
      </c>
      <c r="K1767" s="1">
        <f>'[2]Electricity and CHPs_CAP'!G$18</f>
        <v>4.384809763961902E-2</v>
      </c>
      <c r="L1767" s="1">
        <f>'[2]Electricity and CHPs_CAP'!H$18</f>
        <v>2.0031351459988543E-2</v>
      </c>
      <c r="N1767" s="1"/>
    </row>
    <row r="1768" spans="2:14" x14ac:dyDescent="0.35">
      <c r="B1768" s="5" t="str">
        <f t="shared" ref="B1768:C1769" si="1870">B1767</f>
        <v>SPS1</v>
      </c>
      <c r="C1768" s="5" t="str">
        <f t="shared" si="1870"/>
        <v>CH</v>
      </c>
      <c r="D1768" t="s">
        <v>1798</v>
      </c>
      <c r="E1768" t="str">
        <f t="shared" si="1865"/>
        <v>GWe/yr.</v>
      </c>
      <c r="F1768" s="1">
        <f>'[1]Electricity and CHPs_CAP'!B$28</f>
        <v>9.5312583952047898E-3</v>
      </c>
      <c r="G1768" s="1">
        <f>'[1]Electricity and CHPs_CAP'!C$28</f>
        <v>1.4283683659880447E-3</v>
      </c>
      <c r="H1768" s="1">
        <f>'[1]Electricity and CHPs_CAP'!D$28</f>
        <v>1.359134161065376E-3</v>
      </c>
      <c r="I1768" s="1">
        <f>'[1]Electricity and CHPs_CAP'!E$28</f>
        <v>1.2224088039710212E-3</v>
      </c>
      <c r="J1768" s="1">
        <f>'[2]Electricity and CHPs_CAP'!F$28</f>
        <v>1.0819915302612377E-3</v>
      </c>
      <c r="K1768" s="1">
        <f>'[2]Electricity and CHPs_CAP'!G$28</f>
        <v>1.6103250364480019E-2</v>
      </c>
      <c r="L1768" s="1">
        <f>'[2]Electricity and CHPs_CAP'!H$28</f>
        <v>2.6354263041470163E-4</v>
      </c>
      <c r="N1768" s="1"/>
    </row>
    <row r="1769" spans="2:14" x14ac:dyDescent="0.35">
      <c r="B1769" s="5" t="str">
        <f t="shared" si="1870"/>
        <v>SPS1</v>
      </c>
      <c r="C1769" s="5" t="str">
        <f t="shared" si="1870"/>
        <v>CH</v>
      </c>
      <c r="D1769" t="s">
        <v>1799</v>
      </c>
      <c r="E1769" t="str">
        <f t="shared" si="1865"/>
        <v>GWe/yr.</v>
      </c>
      <c r="F1769" s="1">
        <f>'[1]Electricity and CHPs_CAP'!B$41</f>
        <v>8.3040024032151726E-3</v>
      </c>
      <c r="G1769" s="1">
        <f>'[1]Electricity and CHPs_CAP'!C$41</f>
        <v>2.0868379925520056E-2</v>
      </c>
      <c r="H1769" s="1">
        <f>'[1]Electricity and CHPs_CAP'!D$41</f>
        <v>2.0867556207018724E-2</v>
      </c>
      <c r="I1769" s="1">
        <f>'[1]Electricity and CHPs_CAP'!E$41</f>
        <v>2.0866575209567813E-2</v>
      </c>
      <c r="J1769" s="1">
        <f>'[2]Electricity and CHPs_CAP'!F$41</f>
        <v>9.7060880204964672E-3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5"/>
        <v>GWe/yr.</v>
      </c>
      <c r="F1770" s="1">
        <f>SUM(F1771:F1785)</f>
        <v>0.23062874222316321</v>
      </c>
      <c r="G1770" s="1">
        <f t="shared" ref="G1770:K1770" si="1871">SUM(G1771:G1785)</f>
        <v>0.16592875796906248</v>
      </c>
      <c r="H1770" s="1">
        <f t="shared" si="1871"/>
        <v>0.12021289099956706</v>
      </c>
      <c r="I1770" s="1">
        <f t="shared" si="1871"/>
        <v>0.11657083425856461</v>
      </c>
      <c r="J1770" s="1">
        <f t="shared" si="1871"/>
        <v>0.15922321874645529</v>
      </c>
      <c r="K1770" s="1">
        <f t="shared" si="1871"/>
        <v>0.15128300710092915</v>
      </c>
      <c r="L1770" s="1">
        <f t="shared" ref="L1770" si="1872">SUM(L1771:L1785)</f>
        <v>0.10710146450505269</v>
      </c>
      <c r="N1770" s="1"/>
    </row>
    <row r="1771" spans="2:14" x14ac:dyDescent="0.35">
      <c r="B1771" s="5" t="str">
        <f t="shared" ref="B1771:C1784" si="1873">B1770</f>
        <v>SPS1</v>
      </c>
      <c r="C1771" s="5" t="str">
        <f t="shared" si="1873"/>
        <v>CH</v>
      </c>
      <c r="D1771" t="s">
        <v>1801</v>
      </c>
      <c r="E1771" t="str">
        <f t="shared" si="1865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1.39377853434336E-6</v>
      </c>
      <c r="L1771" s="1">
        <f>'[2]Electricity and CHPs_CAP'!H$21</f>
        <v>2.6875166732897264E-4</v>
      </c>
      <c r="N1771" s="1"/>
    </row>
    <row r="1772" spans="2:14" x14ac:dyDescent="0.35">
      <c r="B1772" s="5" t="str">
        <f t="shared" si="1873"/>
        <v>SPS1</v>
      </c>
      <c r="C1772" s="5" t="str">
        <f t="shared" si="1873"/>
        <v>CH</v>
      </c>
      <c r="D1772" t="s">
        <v>1802</v>
      </c>
      <c r="E1772" t="str">
        <f t="shared" si="1865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2.5646345857049799E-4</v>
      </c>
      <c r="K1772" s="1">
        <f>'[2]Electricity and CHPs_CAP'!G$22</f>
        <v>1.0655506951790753E-3</v>
      </c>
      <c r="L1772" s="1">
        <f>'[2]Electricity and CHPs_CAP'!H$22</f>
        <v>1.0676289423144089E-3</v>
      </c>
      <c r="N1772" s="1"/>
    </row>
    <row r="1773" spans="2:14" x14ac:dyDescent="0.35">
      <c r="B1773" s="5" t="str">
        <f t="shared" si="1873"/>
        <v>SPS1</v>
      </c>
      <c r="C1773" s="5" t="str">
        <f t="shared" si="1873"/>
        <v>CH</v>
      </c>
      <c r="D1773" t="s">
        <v>1803</v>
      </c>
      <c r="E1773" t="str">
        <f t="shared" si="1865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3"/>
        <v>SPS1</v>
      </c>
      <c r="C1774" s="5" t="str">
        <f t="shared" si="1873"/>
        <v>CH</v>
      </c>
      <c r="D1774" t="s">
        <v>1804</v>
      </c>
      <c r="E1774" t="str">
        <f t="shared" si="1865"/>
        <v>GWe/yr.</v>
      </c>
      <c r="F1774" s="1">
        <f>IF('[1]Electricity and CHPs_CAP'!B$24&lt;0,0,'[1]Electricity and CHPs_CAP'!B$24)</f>
        <v>4.9830330951298497E-2</v>
      </c>
      <c r="G1774" s="1">
        <f>IF('[1]Electricity and CHPs_CAP'!C$24&lt;0,0,'[1]Electricity and CHPs_CAP'!C$24)</f>
        <v>9.5748858947823645E-4</v>
      </c>
      <c r="H1774" s="1">
        <f>IF('[1]Electricity and CHPs_CAP'!D$24&lt;0,0,'[1]Electricity and CHPs_CAP'!D$24)</f>
        <v>9.4906585205793703E-4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73"/>
        <v>SPS1</v>
      </c>
      <c r="C1775" s="5" t="str">
        <f t="shared" si="1873"/>
        <v>CH</v>
      </c>
      <c r="D1775" t="s">
        <v>1805</v>
      </c>
      <c r="E1775" t="str">
        <f t="shared" si="1865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73"/>
        <v>SPS1</v>
      </c>
      <c r="C1776" s="5" t="str">
        <f t="shared" si="1873"/>
        <v>CH</v>
      </c>
      <c r="D1776" t="s">
        <v>1806</v>
      </c>
      <c r="E1776" t="str">
        <f t="shared" si="1865"/>
        <v>GWe/yr.</v>
      </c>
      <c r="F1776" s="1">
        <f>'[1]Electricity and CHPs_CAP'!B$39</f>
        <v>2.9211495747356306E-2</v>
      </c>
      <c r="G1776" s="1">
        <f>'[1]Electricity and CHPs_CAP'!C$39</f>
        <v>2.1605797541832561E-2</v>
      </c>
      <c r="H1776" s="1">
        <f>'[1]Electricity and CHPs_CAP'!D$39</f>
        <v>2.1706828958819431E-2</v>
      </c>
      <c r="I1776" s="1">
        <f>'[1]Electricity and CHPs_CAP'!E$39</f>
        <v>2.9515770819091295E-2</v>
      </c>
      <c r="J1776" s="1">
        <f>'[2]Electricity and CHPs_CAP'!F$39</f>
        <v>2.2919783146571299E-2</v>
      </c>
      <c r="K1776" s="1">
        <f>'[2]Electricity and CHPs_CAP'!G$39</f>
        <v>3.7212588043404077E-2</v>
      </c>
      <c r="L1776" s="1">
        <f>'[2]Electricity and CHPs_CAP'!H$39</f>
        <v>1.7922813597581376E-2</v>
      </c>
      <c r="N1776" s="1"/>
    </row>
    <row r="1777" spans="2:14" x14ac:dyDescent="0.35">
      <c r="B1777" s="5" t="str">
        <f t="shared" si="1873"/>
        <v>SPS1</v>
      </c>
      <c r="C1777" s="5" t="str">
        <f t="shared" si="1873"/>
        <v>CH</v>
      </c>
      <c r="D1777" t="s">
        <v>1807</v>
      </c>
      <c r="E1777" t="str">
        <f t="shared" si="1865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3.02240328817183E-3</v>
      </c>
      <c r="L1777" s="1">
        <f>'[2]Electricity and CHPs_CAP'!H$40</f>
        <v>3.0224976947463861E-3</v>
      </c>
      <c r="N1777" s="1"/>
    </row>
    <row r="1778" spans="2:14" x14ac:dyDescent="0.35">
      <c r="B1778" s="5" t="str">
        <f t="shared" si="1873"/>
        <v>SPS1</v>
      </c>
      <c r="C1778" s="5" t="str">
        <f t="shared" si="1873"/>
        <v>CH</v>
      </c>
      <c r="D1778" t="s">
        <v>1808</v>
      </c>
      <c r="E1778" t="str">
        <f t="shared" si="1865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1.0647970895617399E-4</v>
      </c>
      <c r="J1778" s="1">
        <f>'[2]Electricity and CHPs_CAP'!F$47</f>
        <v>1.0171107122529799E-4</v>
      </c>
      <c r="K1778" s="1">
        <f>'[2]Electricity and CHPs_CAP'!G$47</f>
        <v>1.1520541826315961E-4</v>
      </c>
      <c r="L1778" s="1">
        <f>'[2]Electricity and CHPs_CAP'!H$47</f>
        <v>7.517725150474745E-5</v>
      </c>
      <c r="N1778" s="1"/>
    </row>
    <row r="1779" spans="2:14" x14ac:dyDescent="0.35">
      <c r="B1779" s="5" t="str">
        <f t="shared" si="1873"/>
        <v>SPS1</v>
      </c>
      <c r="C1779" s="5" t="str">
        <f t="shared" si="1873"/>
        <v>CH</v>
      </c>
      <c r="D1779" t="s">
        <v>1809</v>
      </c>
      <c r="E1779" t="str">
        <f t="shared" si="1865"/>
        <v>GWe/yr.</v>
      </c>
      <c r="F1779" s="1">
        <f>'[1]Electricity and CHPs_CAP'!B$48</f>
        <v>4.1388459939899602E-3</v>
      </c>
      <c r="G1779" s="1">
        <f>'[1]Electricity and CHPs_CAP'!C$48</f>
        <v>1.6570106311800874E-3</v>
      </c>
      <c r="H1779" s="1">
        <f>'[1]Electricity and CHPs_CAP'!D$48</f>
        <v>1.6480470364210146E-3</v>
      </c>
      <c r="I1779" s="1">
        <f>'[1]Electricity and CHPs_CAP'!E$48</f>
        <v>1.5886436391240625E-3</v>
      </c>
      <c r="J1779" s="1">
        <f>'[2]Electricity and CHPs_CAP'!F$48</f>
        <v>2.4684870481807581E-3</v>
      </c>
      <c r="K1779" s="1">
        <f>'[2]Electricity and CHPs_CAP'!G$48</f>
        <v>1.2033311412865473E-3</v>
      </c>
      <c r="L1779" s="1">
        <f>'[2]Electricity and CHPs_CAP'!H$48</f>
        <v>0</v>
      </c>
      <c r="N1779" s="1"/>
    </row>
    <row r="1780" spans="2:14" x14ac:dyDescent="0.35">
      <c r="B1780" s="5" t="str">
        <f t="shared" si="1873"/>
        <v>SPS1</v>
      </c>
      <c r="C1780" s="5" t="str">
        <f t="shared" si="1873"/>
        <v>CH</v>
      </c>
      <c r="D1780" t="s">
        <v>1810</v>
      </c>
      <c r="E1780" t="str">
        <f t="shared" si="1865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73"/>
        <v>SPS1</v>
      </c>
      <c r="C1781" s="5" t="str">
        <f t="shared" si="1873"/>
        <v>CH</v>
      </c>
      <c r="D1781" t="s">
        <v>1811</v>
      </c>
      <c r="E1781" t="str">
        <f t="shared" si="1865"/>
        <v>GWe/yr.</v>
      </c>
      <c r="F1781" s="1">
        <f>'[1]Electricity and CHPs_CAP'!B$51</f>
        <v>8.7357116145508097E-3</v>
      </c>
      <c r="G1781" s="1">
        <f>'[1]Electricity and CHPs_CAP'!C$51</f>
        <v>9.0824452478351792E-3</v>
      </c>
      <c r="H1781" s="1">
        <f>'[1]Electricity and CHPs_CAP'!D$51</f>
        <v>9.0815411619154587E-3</v>
      </c>
      <c r="I1781" s="1">
        <f>'[1]Electricity and CHPs_CAP'!E$51</f>
        <v>3.050965129271499E-4</v>
      </c>
      <c r="J1781" s="1">
        <f>'[2]Electricity and CHPs_CAP'!F$51</f>
        <v>2.1515013667124515E-2</v>
      </c>
      <c r="K1781" s="1">
        <f>'[2]Electricity and CHPs_CAP'!G$51</f>
        <v>9.8063041055289936E-3</v>
      </c>
      <c r="L1781" s="1">
        <f>'[2]Electricity and CHPs_CAP'!H$51</f>
        <v>0</v>
      </c>
      <c r="N1781" s="1"/>
    </row>
    <row r="1782" spans="2:14" x14ac:dyDescent="0.35">
      <c r="B1782" s="5" t="str">
        <f t="shared" si="1873"/>
        <v>SPS1</v>
      </c>
      <c r="C1782" s="5" t="str">
        <f t="shared" si="1873"/>
        <v>CH</v>
      </c>
      <c r="D1782" t="s">
        <v>1812</v>
      </c>
      <c r="E1782" t="str">
        <f t="shared" si="1865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73"/>
        <v>SPS1</v>
      </c>
      <c r="C1783" s="5" t="str">
        <f t="shared" si="1873"/>
        <v>CH</v>
      </c>
      <c r="D1783" t="s">
        <v>1813</v>
      </c>
      <c r="E1783" t="str">
        <f t="shared" si="1865"/>
        <v>GWe/yr.</v>
      </c>
      <c r="F1783" s="1">
        <f>'[1]Electricity and CHPs_CAP'!B$54</f>
        <v>7.3512524726972894E-2</v>
      </c>
      <c r="G1783" s="1">
        <f>'[1]Electricity and CHPs_CAP'!C$54</f>
        <v>8.4747257634949266E-2</v>
      </c>
      <c r="H1783" s="1">
        <f>'[1]Electricity and CHPs_CAP'!D$54</f>
        <v>8.4746835443488711E-2</v>
      </c>
      <c r="I1783" s="1">
        <f>'[1]Electricity and CHPs_CAP'!E$54</f>
        <v>8.4749088535111233E-2</v>
      </c>
      <c r="J1783" s="1">
        <f>'[2]Electricity and CHPs_CAP'!F$54</f>
        <v>8.4744932064629491E-2</v>
      </c>
      <c r="K1783" s="1">
        <f>'[2]Electricity and CHPs_CAP'!G$54</f>
        <v>8.4744712035372191E-2</v>
      </c>
      <c r="L1783" s="1">
        <f>'[2]Electricity and CHPs_CAP'!H$54</f>
        <v>8.4744595351576801E-2</v>
      </c>
      <c r="N1783" s="1"/>
    </row>
    <row r="1784" spans="2:14" x14ac:dyDescent="0.35">
      <c r="B1784" s="5" t="str">
        <f t="shared" si="1873"/>
        <v>SPS1</v>
      </c>
      <c r="C1784" s="5" t="str">
        <f t="shared" si="1873"/>
        <v>CH</v>
      </c>
      <c r="D1784" t="s">
        <v>1814</v>
      </c>
      <c r="E1784" t="str">
        <f t="shared" si="1865"/>
        <v>GWe/yr.</v>
      </c>
      <c r="F1784" s="1">
        <f>'[1]Electricity and CHPs_CAP'!B$55</f>
        <v>6.5199833188994749E-2</v>
      </c>
      <c r="G1784" s="1">
        <f>'[1]Electricity and CHPs_CAP'!C$55</f>
        <v>4.787875832378715E-2</v>
      </c>
      <c r="H1784" s="1">
        <f>'[1]Electricity and CHPs_CAP'!D$55</f>
        <v>2.0805725468645009E-3</v>
      </c>
      <c r="I1784" s="1">
        <f>'[1]Electricity and CHPs_CAP'!E$55</f>
        <v>3.0575504335469961E-4</v>
      </c>
      <c r="J1784" s="1">
        <f>'[2]Electricity and CHPs_CAP'!F$55</f>
        <v>2.7216828290153441E-2</v>
      </c>
      <c r="K1784" s="1">
        <f>'[2]Electricity and CHPs_CAP'!G$55</f>
        <v>1.4111518595188954E-2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74">B1784</f>
        <v>SPS1</v>
      </c>
      <c r="C1785" s="5" t="str">
        <f t="shared" si="1874"/>
        <v>CH</v>
      </c>
      <c r="D1785" t="s">
        <v>1815</v>
      </c>
      <c r="E1785" t="str">
        <f t="shared" si="1865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5"/>
        <v>GWe/yr.</v>
      </c>
      <c r="F1786" s="1">
        <f>SUM(F1787:F1792)</f>
        <v>0.39868059009055529</v>
      </c>
      <c r="G1786" s="1">
        <f t="shared" ref="G1786:K1786" si="1875">SUM(G1787:G1792)</f>
        <v>0.35291005320518615</v>
      </c>
      <c r="H1786" s="1">
        <f t="shared" si="1875"/>
        <v>0.37440622555599151</v>
      </c>
      <c r="I1786" s="1">
        <f t="shared" si="1875"/>
        <v>0.34733681204043065</v>
      </c>
      <c r="J1786" s="1">
        <f t="shared" si="1875"/>
        <v>0.35368999918724009</v>
      </c>
      <c r="K1786" s="1">
        <f t="shared" si="1875"/>
        <v>0.39269731891242543</v>
      </c>
      <c r="L1786" s="1">
        <f t="shared" ref="L1786" si="1876">SUM(L1787:L1792)</f>
        <v>0.41451081856138194</v>
      </c>
      <c r="N1786" s="1"/>
    </row>
    <row r="1787" spans="2:14" x14ac:dyDescent="0.35">
      <c r="B1787" s="5" t="str">
        <f t="shared" ref="B1787:C1792" si="1877">B1786</f>
        <v>SPS1</v>
      </c>
      <c r="C1787" s="5" t="str">
        <f t="shared" si="1877"/>
        <v>CH</v>
      </c>
      <c r="D1787" t="s">
        <v>1817</v>
      </c>
      <c r="E1787" t="str">
        <f t="shared" si="1865"/>
        <v>GWe/yr.</v>
      </c>
      <c r="F1787" s="1">
        <f>'[1]Electricity and CHPs_CAP'!B$19</f>
        <v>0.2725042151764665</v>
      </c>
      <c r="G1787" s="1">
        <f>'[1]Electricity and CHPs_CAP'!C$19</f>
        <v>0.27250200379123268</v>
      </c>
      <c r="H1787" s="1">
        <f>'[1]Electricity and CHPs_CAP'!D$19</f>
        <v>0.30328432895804347</v>
      </c>
      <c r="I1787" s="1">
        <f>'[1]Electricity and CHPs_CAP'!E$19</f>
        <v>0.27622345481929328</v>
      </c>
      <c r="J1787" s="1">
        <f>'[2]Electricity and CHPs_CAP'!F$19</f>
        <v>0.279488695756965</v>
      </c>
      <c r="K1787" s="1">
        <f>'[2]Electricity and CHPs_CAP'!G$19</f>
        <v>0.196645598435395</v>
      </c>
      <c r="L1787" s="1">
        <f>'[2]Electricity and CHPs_CAP'!H$19</f>
        <v>6.4374461053701149E-5</v>
      </c>
      <c r="N1787" s="1"/>
    </row>
    <row r="1788" spans="2:14" x14ac:dyDescent="0.35">
      <c r="B1788" s="5" t="str">
        <f t="shared" si="1877"/>
        <v>SPS1</v>
      </c>
      <c r="C1788" s="5" t="str">
        <f t="shared" si="1877"/>
        <v>CH</v>
      </c>
      <c r="D1788" t="s">
        <v>1818</v>
      </c>
      <c r="E1788" t="str">
        <f t="shared" si="1865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0.116047896623186</v>
      </c>
      <c r="L1788" s="1">
        <f>'[2]Electricity and CHPs_CAP'!H$20</f>
        <v>0.31603159595096608</v>
      </c>
      <c r="N1788" s="1"/>
    </row>
    <row r="1789" spans="2:14" x14ac:dyDescent="0.35">
      <c r="B1789" s="5" t="str">
        <f t="shared" si="1877"/>
        <v>SPS1</v>
      </c>
      <c r="C1789" s="5" t="str">
        <f t="shared" si="1877"/>
        <v>CH</v>
      </c>
      <c r="D1789" t="s">
        <v>1819</v>
      </c>
      <c r="E1789" t="str">
        <f t="shared" si="1865"/>
        <v>GWe/yr.</v>
      </c>
      <c r="F1789" s="1">
        <f>'[1]Electricity and CHPs_CAP'!B$26</f>
        <v>7.8399999999999997E-2</v>
      </c>
      <c r="G1789" s="1">
        <f>'[1]Electricity and CHPs_CAP'!C$26</f>
        <v>7.1001458538390086E-2</v>
      </c>
      <c r="H1789" s="1">
        <f>'[1]Electricity and CHPs_CAP'!D$26</f>
        <v>7.0548781405743152E-2</v>
      </c>
      <c r="I1789" s="1">
        <f>'[1]Electricity and CHPs_CAP'!E$26</f>
        <v>7.054861861871442E-2</v>
      </c>
      <c r="J1789" s="1">
        <f>'[2]Electricity and CHPs_CAP'!F$26</f>
        <v>6.9925846736777666E-2</v>
      </c>
      <c r="K1789" s="1">
        <f>'[2]Electricity and CHPs_CAP'!G$26</f>
        <v>4.8460477956265367E-2</v>
      </c>
      <c r="L1789" s="1">
        <f>'[2]Electricity and CHPs_CAP'!H$26</f>
        <v>2.9032821848587465E-5</v>
      </c>
      <c r="N1789" s="1"/>
    </row>
    <row r="1790" spans="2:14" x14ac:dyDescent="0.35">
      <c r="B1790" s="5" t="str">
        <f t="shared" si="1877"/>
        <v>SPS1</v>
      </c>
      <c r="C1790" s="5" t="str">
        <f t="shared" si="1877"/>
        <v>CH</v>
      </c>
      <c r="D1790" t="s">
        <v>1820</v>
      </c>
      <c r="E1790" t="str">
        <f t="shared" si="1865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2.6763286369221099E-2</v>
      </c>
      <c r="L1790" s="1">
        <f>'[2]Electricity and CHPs_CAP'!H$27</f>
        <v>7.4126842088887299E-2</v>
      </c>
      <c r="N1790" s="1"/>
    </row>
    <row r="1791" spans="2:14" x14ac:dyDescent="0.35">
      <c r="B1791" s="5" t="str">
        <f t="shared" si="1877"/>
        <v>SPS1</v>
      </c>
      <c r="C1791" s="5" t="str">
        <f t="shared" si="1877"/>
        <v>CH</v>
      </c>
      <c r="D1791" t="s">
        <v>1821</v>
      </c>
      <c r="E1791" t="str">
        <f t="shared" si="1865"/>
        <v>GWe/yr.</v>
      </c>
      <c r="F1791" s="1">
        <f>'[1]Electricity and CHPs_CAP'!B$44</f>
        <v>4.7776374914088753E-2</v>
      </c>
      <c r="G1791" s="1">
        <f>'[1]Electricity and CHPs_CAP'!C$44</f>
        <v>9.4065908755634128E-3</v>
      </c>
      <c r="H1791" s="1">
        <f>'[1]Electricity and CHPs_CAP'!D$44</f>
        <v>5.7311519220486218E-4</v>
      </c>
      <c r="I1791" s="1">
        <f>'[1]Electricity and CHPs_CAP'!E$44</f>
        <v>5.6473860242294699E-4</v>
      </c>
      <c r="J1791" s="1">
        <f>'[2]Electricity and CHPs_CAP'!F$44</f>
        <v>4.2754566934974647E-3</v>
      </c>
      <c r="K1791" s="1">
        <f>'[2]Electricity and CHPs_CAP'!G$44</f>
        <v>4.2749572859938174E-3</v>
      </c>
      <c r="L1791" s="1">
        <f>'[2]Electricity and CHPs_CAP'!H$44</f>
        <v>3.7413154100832385E-5</v>
      </c>
      <c r="N1791" s="1"/>
    </row>
    <row r="1792" spans="2:14" x14ac:dyDescent="0.35">
      <c r="B1792" s="5" t="str">
        <f t="shared" si="1877"/>
        <v>SPS1</v>
      </c>
      <c r="C1792" s="5" t="str">
        <f t="shared" si="1877"/>
        <v>CH</v>
      </c>
      <c r="D1792" t="s">
        <v>1822</v>
      </c>
      <c r="E1792" t="str">
        <f t="shared" si="1865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5.0510224236418797E-4</v>
      </c>
      <c r="L1792" s="1">
        <f>'[2]Electricity and CHPs_CAP'!H$45</f>
        <v>2.4221560084525487E-2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5"/>
        <v>GWe/yr.</v>
      </c>
      <c r="F1793" s="1">
        <f>SUM(F1794:F1800)</f>
        <v>2.1418788295863647E-2</v>
      </c>
      <c r="G1793" s="1">
        <f t="shared" ref="G1793:K1793" si="1878">SUM(G1794:G1800)</f>
        <v>2.7799779300429601E-2</v>
      </c>
      <c r="H1793" s="1">
        <f t="shared" si="1878"/>
        <v>4.2927457226592074E-2</v>
      </c>
      <c r="I1793" s="1">
        <f t="shared" si="1878"/>
        <v>0.1022411559049847</v>
      </c>
      <c r="J1793" s="1">
        <f t="shared" si="1878"/>
        <v>0.16297086843572886</v>
      </c>
      <c r="K1793" s="1">
        <f t="shared" si="1878"/>
        <v>0.19009418929754485</v>
      </c>
      <c r="L1793" s="1">
        <f t="shared" ref="L1793" si="1879">SUM(L1794:L1800)</f>
        <v>0.24431448065288608</v>
      </c>
      <c r="N1793" s="1"/>
    </row>
    <row r="1794" spans="2:14" x14ac:dyDescent="0.35">
      <c r="B1794" s="5" t="str">
        <f t="shared" ref="B1794:C1804" si="1880">B1793</f>
        <v>SPS1</v>
      </c>
      <c r="C1794" s="5" t="str">
        <f t="shared" si="1880"/>
        <v>CH</v>
      </c>
      <c r="D1794" t="s">
        <v>1824</v>
      </c>
      <c r="E1794" t="str">
        <f t="shared" si="1865"/>
        <v>GWe/yr.</v>
      </c>
      <c r="F1794" s="1">
        <f>'[1]Electricity and CHPs_CAP'!B$25</f>
        <v>1.5027097372359299E-2</v>
      </c>
      <c r="G1794" s="1">
        <f>'[1]Electricity and CHPs_CAP'!C$25</f>
        <v>8.5086461723831788E-3</v>
      </c>
      <c r="H1794" s="1">
        <f>'[1]Electricity and CHPs_CAP'!D$25</f>
        <v>9.6494158690986487E-5</v>
      </c>
      <c r="I1794" s="1">
        <f>'[1]Electricity and CHPs_CAP'!E$25</f>
        <v>3.4523186552553597E-2</v>
      </c>
      <c r="J1794" s="1">
        <f>'[2]Electricity and CHPs_CAP'!F$25</f>
        <v>3.6754673172566296E-2</v>
      </c>
      <c r="K1794" s="1">
        <f>'[2]Electricity and CHPs_CAP'!G$25</f>
        <v>5.0880926579205614E-2</v>
      </c>
      <c r="L1794" s="1">
        <f>'[2]Electricity and CHPs_CAP'!H$25</f>
        <v>2.3817935924179759E-4</v>
      </c>
      <c r="N1794" s="1"/>
    </row>
    <row r="1795" spans="2:14" x14ac:dyDescent="0.35">
      <c r="B1795" s="5" t="str">
        <f t="shared" si="1880"/>
        <v>SPS1</v>
      </c>
      <c r="C1795" s="5" t="str">
        <f t="shared" si="1880"/>
        <v>CH</v>
      </c>
      <c r="D1795" t="s">
        <v>1825</v>
      </c>
      <c r="E1795" t="str">
        <f t="shared" si="1865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5.0868958018812902E-5</v>
      </c>
      <c r="L1795" s="1">
        <f>'[2]Electricity and CHPs_CAP'!H$31</f>
        <v>0.11337507542843309</v>
      </c>
      <c r="N1795" s="1"/>
    </row>
    <row r="1796" spans="2:14" x14ac:dyDescent="0.35">
      <c r="B1796" s="5" t="str">
        <f t="shared" si="1880"/>
        <v>SPS1</v>
      </c>
      <c r="C1796" s="5" t="str">
        <f t="shared" si="1880"/>
        <v>CH</v>
      </c>
      <c r="D1796" t="s">
        <v>1826</v>
      </c>
      <c r="E1796" t="str">
        <f t="shared" si="1865"/>
        <v>GWe/yr.</v>
      </c>
      <c r="F1796" s="1">
        <f>'[1]Electricity and CHPs_CAP'!B$42</f>
        <v>6.3916909235043496E-3</v>
      </c>
      <c r="G1796" s="1">
        <f>'[1]Electricity and CHPs_CAP'!C$42</f>
        <v>1.9291133128046423E-2</v>
      </c>
      <c r="H1796" s="1">
        <f>'[1]Electricity and CHPs_CAP'!D$42</f>
        <v>4.2830963067901087E-2</v>
      </c>
      <c r="I1796" s="1">
        <f>'[1]Electricity and CHPs_CAP'!E$42</f>
        <v>6.7682445836469693E-2</v>
      </c>
      <c r="J1796" s="1">
        <f>'[2]Electricity and CHPs_CAP'!F$42</f>
        <v>0.11758784877400549</v>
      </c>
      <c r="K1796" s="1">
        <f>'[2]Electricity and CHPs_CAP'!G$42</f>
        <v>9.6138918445641056E-2</v>
      </c>
      <c r="L1796" s="1">
        <f>'[2]Electricity and CHPs_CAP'!H$42</f>
        <v>5.3956361312250949E-2</v>
      </c>
      <c r="N1796" s="1"/>
    </row>
    <row r="1797" spans="2:14" x14ac:dyDescent="0.35">
      <c r="B1797" s="5" t="str">
        <f t="shared" si="1880"/>
        <v>SPS1</v>
      </c>
      <c r="C1797" s="5" t="str">
        <f t="shared" si="1880"/>
        <v>CH</v>
      </c>
      <c r="D1797" t="s">
        <v>1827</v>
      </c>
      <c r="E1797" t="str">
        <f t="shared" si="1865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3.4469659714718603E-2</v>
      </c>
      <c r="L1797" s="1">
        <f>'[2]Electricity and CHPs_CAP'!H$43</f>
        <v>7.6404066897947806E-2</v>
      </c>
      <c r="N1797" s="1"/>
    </row>
    <row r="1798" spans="2:14" x14ac:dyDescent="0.35">
      <c r="B1798" s="5" t="str">
        <f t="shared" si="1880"/>
        <v>SPS1</v>
      </c>
      <c r="C1798" s="5" t="str">
        <f t="shared" si="1880"/>
        <v>CH</v>
      </c>
      <c r="D1798" t="s">
        <v>1828</v>
      </c>
      <c r="E1798" t="str">
        <f t="shared" si="1865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7.5644411438864299E-6</v>
      </c>
      <c r="J1798" s="1">
        <f>'[2]Electricity and CHPs_CAP'!F$50</f>
        <v>1.8299518403207076E-4</v>
      </c>
      <c r="K1798" s="1">
        <f>'[2]Electricity and CHPs_CAP'!G$50</f>
        <v>1.8945013594290751E-4</v>
      </c>
      <c r="L1798" s="1">
        <f>'[2]Electricity and CHPs_CAP'!H$50</f>
        <v>6.9618149729189113E-5</v>
      </c>
      <c r="N1798" s="1"/>
    </row>
    <row r="1799" spans="2:14" x14ac:dyDescent="0.35">
      <c r="B1799" s="5" t="str">
        <f t="shared" si="1880"/>
        <v>SPS1</v>
      </c>
      <c r="C1799" s="5" t="str">
        <f t="shared" si="1880"/>
        <v>CH</v>
      </c>
      <c r="D1799" t="s">
        <v>1829</v>
      </c>
      <c r="E1799" t="str">
        <f t="shared" si="1865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1.3556918345133981E-5</v>
      </c>
      <c r="J1799" s="1">
        <f>'[2]Electricity and CHPs_CAP'!F$53</f>
        <v>8.3703357356916131E-3</v>
      </c>
      <c r="K1799" s="1">
        <f>'[2]Electricity and CHPs_CAP'!G$53</f>
        <v>8.2959897516593235E-3</v>
      </c>
      <c r="L1799" s="1">
        <f>'[2]Electricity and CHPs_CAP'!H$53</f>
        <v>2.3365942702407018E-4</v>
      </c>
      <c r="N1799" s="1"/>
    </row>
    <row r="1800" spans="2:14" x14ac:dyDescent="0.35">
      <c r="B1800" s="5" t="str">
        <f t="shared" si="1880"/>
        <v>SPS1</v>
      </c>
      <c r="C1800" s="5" t="str">
        <f t="shared" si="1880"/>
        <v>CH</v>
      </c>
      <c r="D1800" t="s">
        <v>1830</v>
      </c>
      <c r="E1800" t="str">
        <f t="shared" si="1865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1.4402156472393201E-5</v>
      </c>
      <c r="J1800" s="1">
        <f>'[2]Electricity and CHPs_CAP'!F$56</f>
        <v>7.5015569433392284E-5</v>
      </c>
      <c r="K1800" s="1">
        <f>'[2]Electricity and CHPs_CAP'!G$56</f>
        <v>6.837571235853652E-5</v>
      </c>
      <c r="L1800" s="1">
        <f>'[2]Electricity and CHPs_CAP'!H$56</f>
        <v>3.7520078259156147E-5</v>
      </c>
      <c r="N1800" s="1"/>
    </row>
    <row r="1801" spans="2:14" x14ac:dyDescent="0.35">
      <c r="B1801" s="5" t="str">
        <f t="shared" si="1880"/>
        <v>SPS1</v>
      </c>
      <c r="C1801" s="5" t="str">
        <f t="shared" si="1880"/>
        <v>CH</v>
      </c>
      <c r="D1801" t="s">
        <v>1831</v>
      </c>
      <c r="E1801" t="str">
        <f t="shared" si="1865"/>
        <v>GWe/yr.</v>
      </c>
      <c r="F1801" s="1">
        <f>F1802</f>
        <v>8.7120000000000003E-2</v>
      </c>
      <c r="G1801" s="1">
        <f t="shared" ref="G1801:L1801" si="1881">G1802</f>
        <v>9.0660047929208162E-2</v>
      </c>
      <c r="H1801" s="1">
        <f t="shared" si="1881"/>
        <v>8.3655965423137163E-2</v>
      </c>
      <c r="I1801" s="1">
        <f t="shared" si="1881"/>
        <v>0.34087530220510831</v>
      </c>
      <c r="J1801" s="1">
        <f t="shared" si="1881"/>
        <v>0.1463140263936088</v>
      </c>
      <c r="K1801" s="1">
        <f t="shared" si="1881"/>
        <v>0.14631625632928169</v>
      </c>
      <c r="L1801" s="1">
        <f t="shared" si="1881"/>
        <v>0.146316542619427</v>
      </c>
      <c r="N1801" s="1"/>
    </row>
    <row r="1802" spans="2:14" x14ac:dyDescent="0.35">
      <c r="B1802" s="5" t="str">
        <f t="shared" si="1880"/>
        <v>SPS1</v>
      </c>
      <c r="C1802" s="5" t="str">
        <f t="shared" si="1880"/>
        <v>CH</v>
      </c>
      <c r="D1802" t="s">
        <v>1832</v>
      </c>
      <c r="E1802" t="str">
        <f t="shared" si="1865"/>
        <v>GWe/yr.</v>
      </c>
      <c r="F1802" s="1">
        <f>'[1]Electricity and CHPs_CAP'!B$33</f>
        <v>8.7120000000000003E-2</v>
      </c>
      <c r="G1802" s="1">
        <f>'[1]Electricity and CHPs_CAP'!C$33</f>
        <v>9.0660047929208162E-2</v>
      </c>
      <c r="H1802" s="1">
        <f>'[1]Electricity and CHPs_CAP'!D$33</f>
        <v>8.3655965423137163E-2</v>
      </c>
      <c r="I1802" s="1">
        <f>'[1]Electricity and CHPs_CAP'!E$33</f>
        <v>0.34087530220510831</v>
      </c>
      <c r="J1802" s="1">
        <f>'[2]Electricity and CHPs_CAP'!F$33</f>
        <v>0.1463140263936088</v>
      </c>
      <c r="K1802" s="1">
        <f>'[2]Electricity and CHPs_CAP'!G$33</f>
        <v>0.14631625632928169</v>
      </c>
      <c r="L1802" s="1">
        <f>'[2]Electricity and CHPs_CAP'!H$33</f>
        <v>0.146316542619427</v>
      </c>
      <c r="N1802" s="1"/>
    </row>
    <row r="1803" spans="2:14" x14ac:dyDescent="0.35">
      <c r="B1803" s="5" t="str">
        <f t="shared" si="1880"/>
        <v>SPS1</v>
      </c>
      <c r="C1803" s="5" t="str">
        <f t="shared" si="1880"/>
        <v>CH</v>
      </c>
      <c r="D1803" t="s">
        <v>1833</v>
      </c>
      <c r="E1803" t="str">
        <f t="shared" si="1865"/>
        <v>GWe/yr.</v>
      </c>
      <c r="F1803" s="1">
        <f>SUM(F1804:F1808)</f>
        <v>2.9746549999999998</v>
      </c>
      <c r="G1803" s="1">
        <f t="shared" ref="G1803:K1803" si="1882">SUM(G1804:G1808)</f>
        <v>4.3709069010563057</v>
      </c>
      <c r="H1803" s="1">
        <f t="shared" si="1882"/>
        <v>9.1889298588544932</v>
      </c>
      <c r="I1803" s="1">
        <f t="shared" si="1882"/>
        <v>14.570133764258737</v>
      </c>
      <c r="J1803" s="1">
        <f t="shared" si="1882"/>
        <v>15.537920682853347</v>
      </c>
      <c r="K1803" s="1">
        <f t="shared" si="1882"/>
        <v>16.673254222965994</v>
      </c>
      <c r="L1803" s="1">
        <f t="shared" ref="L1803" si="1883">SUM(L1804:L1808)</f>
        <v>18.267259505289047</v>
      </c>
      <c r="N1803" s="1"/>
    </row>
    <row r="1804" spans="2:14" x14ac:dyDescent="0.35">
      <c r="B1804" s="5" t="str">
        <f t="shared" si="1880"/>
        <v>SPS1</v>
      </c>
      <c r="C1804" s="5" t="str">
        <f t="shared" si="1880"/>
        <v>CH</v>
      </c>
      <c r="D1804" t="s">
        <v>1834</v>
      </c>
      <c r="E1804" t="str">
        <f t="shared" si="1865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4.4924587249207101E-2</v>
      </c>
      <c r="I1804" s="1">
        <f>'[1]Electricity and CHPs_CAP'!E$34</f>
        <v>9.768270755578376E-2</v>
      </c>
      <c r="J1804" s="1">
        <f>'[2]Electricity and CHPs_CAP'!F$34</f>
        <v>0.31491627373840886</v>
      </c>
      <c r="K1804" s="1">
        <f>'[2]Electricity and CHPs_CAP'!G$34</f>
        <v>0.65983461943273525</v>
      </c>
      <c r="L1804" s="1">
        <f>'[2]Electricity and CHPs_CAP'!H$34</f>
        <v>0.5473448469923784</v>
      </c>
      <c r="N1804" s="1"/>
    </row>
    <row r="1805" spans="2:14" x14ac:dyDescent="0.35">
      <c r="B1805" s="5" t="str">
        <f t="shared" ref="B1805:C1820" si="1884">B1804</f>
        <v>SPS1</v>
      </c>
      <c r="C1805" s="5" t="str">
        <f t="shared" si="1884"/>
        <v>CH</v>
      </c>
      <c r="D1805" t="s">
        <v>1835</v>
      </c>
      <c r="E1805" t="str">
        <f t="shared" si="1865"/>
        <v>GWe/yr.</v>
      </c>
      <c r="F1805" s="1">
        <f>'[1]Electricity and CHPs_CAP'!B$35</f>
        <v>1.1186210000000001</v>
      </c>
      <c r="G1805" s="1">
        <f>'[1]Electricity and CHPs_CAP'!C$35</f>
        <v>1.6529270800767153</v>
      </c>
      <c r="H1805" s="1">
        <f>'[1]Electricity and CHPs_CAP'!D$35</f>
        <v>3.5611851761784199</v>
      </c>
      <c r="I1805" s="1">
        <f>'[1]Electricity and CHPs_CAP'!E$35</f>
        <v>5.6146861982526</v>
      </c>
      <c r="J1805" s="1">
        <f>'[2]Electricity and CHPs_CAP'!F$35</f>
        <v>5.9010928878556204</v>
      </c>
      <c r="K1805" s="1">
        <f>'[2]Electricity and CHPs_CAP'!G$35</f>
        <v>6.2021085155878763</v>
      </c>
      <c r="L1805" s="1">
        <f>'[2]Electricity and CHPs_CAP'!H$35</f>
        <v>6.85098596574095</v>
      </c>
      <c r="N1805" s="1"/>
    </row>
    <row r="1806" spans="2:14" x14ac:dyDescent="0.35">
      <c r="B1806" s="5" t="str">
        <f t="shared" si="1884"/>
        <v>SPS1</v>
      </c>
      <c r="C1806" s="5" t="str">
        <f t="shared" si="1884"/>
        <v>CH</v>
      </c>
      <c r="D1806" t="s">
        <v>1836</v>
      </c>
      <c r="E1806" t="str">
        <f t="shared" si="1865"/>
        <v>GWe/yr.</v>
      </c>
      <c r="F1806" s="1">
        <f>'[1]Electricity and CHPs_CAP'!B$36</f>
        <v>0.67885700000000004</v>
      </c>
      <c r="G1806" s="1">
        <f>'[1]Electricity and CHPs_CAP'!C$36</f>
        <v>1.1559155872428111</v>
      </c>
      <c r="H1806" s="1">
        <f>'[1]Electricity and CHPs_CAP'!D$36</f>
        <v>1.9187166048159163</v>
      </c>
      <c r="I1806" s="1">
        <f>'[1]Electricity and CHPs_CAP'!E$36</f>
        <v>3.2245944574939558</v>
      </c>
      <c r="J1806" s="1">
        <f>'[2]Electricity and CHPs_CAP'!F$36</f>
        <v>3.4021622496047419</v>
      </c>
      <c r="K1806" s="1">
        <f>'[2]Electricity and CHPs_CAP'!G$36</f>
        <v>3.5895939434431061</v>
      </c>
      <c r="L1806" s="1">
        <f>'[2]Electricity and CHPs_CAP'!H$36</f>
        <v>3.99628326757214</v>
      </c>
      <c r="N1806" s="1"/>
    </row>
    <row r="1807" spans="2:14" x14ac:dyDescent="0.35">
      <c r="B1807" s="5" t="str">
        <f t="shared" si="1884"/>
        <v>SPS1</v>
      </c>
      <c r="C1807" s="5" t="str">
        <f t="shared" si="1884"/>
        <v>CH</v>
      </c>
      <c r="D1807" t="s">
        <v>1837</v>
      </c>
      <c r="E1807" t="str">
        <f t="shared" si="1865"/>
        <v>GWe/yr.</v>
      </c>
      <c r="F1807" s="1">
        <f>'[1]Electricity and CHPs_CAP'!B$37</f>
        <v>0.27424799999999999</v>
      </c>
      <c r="G1807" s="1">
        <f>'[1]Electricity and CHPs_CAP'!C$37</f>
        <v>0.43896291060517301</v>
      </c>
      <c r="H1807" s="1">
        <f>'[1]Electricity and CHPs_CAP'!D$37</f>
        <v>0.48416895503164847</v>
      </c>
      <c r="I1807" s="1">
        <f>'[1]Electricity and CHPs_CAP'!E$37</f>
        <v>0.47244677624033782</v>
      </c>
      <c r="J1807" s="1">
        <f>'[2]Electricity and CHPs_CAP'!F$37</f>
        <v>0.49577611572949726</v>
      </c>
      <c r="K1807" s="1">
        <f>'[2]Electricity and CHPs_CAP'!G$37</f>
        <v>0.52106653003368764</v>
      </c>
      <c r="L1807" s="1">
        <f>'[2]Electricity and CHPs_CAP'!H$37</f>
        <v>0.57558095166121048</v>
      </c>
      <c r="N1807" s="1"/>
    </row>
    <row r="1808" spans="2:14" x14ac:dyDescent="0.35">
      <c r="B1808" s="5" t="str">
        <f t="shared" si="1884"/>
        <v>SPS1</v>
      </c>
      <c r="C1808" s="5" t="str">
        <f t="shared" si="1884"/>
        <v>CH</v>
      </c>
      <c r="D1808" t="s">
        <v>1838</v>
      </c>
      <c r="E1808" t="str">
        <f t="shared" si="1865"/>
        <v>GWe/yr.</v>
      </c>
      <c r="F1808" s="1">
        <f>'[1]Electricity and CHPs_CAP'!B$38</f>
        <v>0.90292899999999998</v>
      </c>
      <c r="G1808" s="1">
        <f>'[1]Electricity and CHPs_CAP'!C$38</f>
        <v>1.1231013231316065</v>
      </c>
      <c r="H1808" s="1">
        <f>'[1]Electricity and CHPs_CAP'!D$38</f>
        <v>3.1799345355793003</v>
      </c>
      <c r="I1808" s="1">
        <f>'[1]Electricity and CHPs_CAP'!E$38</f>
        <v>5.1607236247160593</v>
      </c>
      <c r="J1808" s="1">
        <f>'[2]Electricity and CHPs_CAP'!F$38</f>
        <v>5.4239731559250783</v>
      </c>
      <c r="K1808" s="1">
        <f>'[2]Electricity and CHPs_CAP'!G$38</f>
        <v>5.7006506144685893</v>
      </c>
      <c r="L1808" s="1">
        <f>'[2]Electricity and CHPs_CAP'!H$38</f>
        <v>6.2970644733223704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5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2.5724258741765199E-5</v>
      </c>
      <c r="L1809" s="1">
        <f>'[2]Electricity and CHPs_CAP'!H$32</f>
        <v>1.6427454996630446E-4</v>
      </c>
      <c r="N1809" s="1"/>
    </row>
    <row r="1810" spans="2:14" x14ac:dyDescent="0.35">
      <c r="B1810" s="5" t="str">
        <f t="shared" ref="B1810:C1810" si="1885">B1809</f>
        <v>SPS1</v>
      </c>
      <c r="C1810" s="5" t="str">
        <f t="shared" si="1885"/>
        <v>CH</v>
      </c>
      <c r="D1810" t="s">
        <v>1840</v>
      </c>
      <c r="E1810" t="str">
        <f t="shared" si="1865"/>
        <v>GWe/yr.</v>
      </c>
      <c r="F1810" s="1">
        <f>F1809</f>
        <v>0</v>
      </c>
      <c r="G1810" s="1">
        <f t="shared" ref="G1810:K1810" si="1886">G1809</f>
        <v>0</v>
      </c>
      <c r="H1810" s="1">
        <f t="shared" si="1886"/>
        <v>0</v>
      </c>
      <c r="I1810" s="1">
        <f t="shared" si="1886"/>
        <v>0</v>
      </c>
      <c r="J1810" s="1">
        <f t="shared" si="1886"/>
        <v>0</v>
      </c>
      <c r="K1810" s="1">
        <f t="shared" si="1886"/>
        <v>2.5724258741765199E-5</v>
      </c>
      <c r="L1810" s="1">
        <f t="shared" ref="L1810" si="1887">L1809</f>
        <v>1.6427454996630446E-4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5"/>
        <v>GWe/yr.</v>
      </c>
      <c r="F1811" s="1">
        <f t="shared" ref="F1811:K1811" si="1888">SUM(F1812:F1814)</f>
        <v>0</v>
      </c>
      <c r="G1811" s="1">
        <f t="shared" si="1888"/>
        <v>0</v>
      </c>
      <c r="H1811" s="1">
        <f t="shared" si="1888"/>
        <v>0</v>
      </c>
      <c r="I1811" s="1">
        <f t="shared" si="1888"/>
        <v>1.4387274741387371E-3</v>
      </c>
      <c r="J1811" s="1">
        <f t="shared" si="1888"/>
        <v>9.0141548831856508E-4</v>
      </c>
      <c r="K1811" s="1">
        <f t="shared" si="1888"/>
        <v>3.063691977570902E-2</v>
      </c>
      <c r="L1811" s="1">
        <f t="shared" ref="L1811" si="1889">SUM(L1812:L1814)</f>
        <v>2.9149402199415218E-2</v>
      </c>
      <c r="N1811" s="1"/>
    </row>
    <row r="1812" spans="2:14" x14ac:dyDescent="0.35">
      <c r="B1812" s="5" t="str">
        <f t="shared" si="1884"/>
        <v>SPS1</v>
      </c>
      <c r="C1812" s="5" t="str">
        <f t="shared" si="1884"/>
        <v>CH</v>
      </c>
      <c r="D1812" t="s">
        <v>1842</v>
      </c>
      <c r="E1812" t="str">
        <f t="shared" si="1865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5.9119312509369297E-3</v>
      </c>
      <c r="L1812" s="1">
        <f>'[2]Electricity and CHPs_CAP'!H$30</f>
        <v>5.8108648846960237E-3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5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1.43238914022726E-3</v>
      </c>
      <c r="J1813" s="1">
        <f>'[2]Electricity and CHPs_CAP'!F$46</f>
        <v>8.0199955279002411E-4</v>
      </c>
      <c r="K1813" s="1">
        <f>'[2]Electricity and CHPs_CAP'!G$46</f>
        <v>2.3176329241041918E-2</v>
      </c>
      <c r="L1813" s="1">
        <f>'[2]Electricity and CHPs_CAP'!H$46</f>
        <v>2.2249820128122662E-2</v>
      </c>
      <c r="N1813" s="1"/>
    </row>
    <row r="1814" spans="2:14" x14ac:dyDescent="0.35">
      <c r="B1814" s="5" t="str">
        <f t="shared" si="1884"/>
        <v>SPS1</v>
      </c>
      <c r="C1814" s="5" t="str">
        <f t="shared" si="1884"/>
        <v>CH</v>
      </c>
      <c r="D1814" t="s">
        <v>1844</v>
      </c>
      <c r="E1814" t="str">
        <f t="shared" si="1865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6.3383339114771199E-6</v>
      </c>
      <c r="J1814" s="1">
        <f>'[2]Electricity and CHPs_CAP'!F$57</f>
        <v>9.9415935528541024E-5</v>
      </c>
      <c r="K1814" s="1">
        <f>'[2]Electricity and CHPs_CAP'!G$57</f>
        <v>1.5486592837301724E-3</v>
      </c>
      <c r="L1814" s="1">
        <f>'[2]Electricity and CHPs_CAP'!H$57</f>
        <v>1.0887171865965317E-3</v>
      </c>
      <c r="N1814" s="1"/>
    </row>
    <row r="1815" spans="2:14" x14ac:dyDescent="0.35">
      <c r="B1815" s="5" t="str">
        <f t="shared" si="1884"/>
        <v>SPS1</v>
      </c>
      <c r="C1815" s="5" t="str">
        <f t="shared" si="1884"/>
        <v>CH</v>
      </c>
      <c r="D1815" t="s">
        <v>1845</v>
      </c>
      <c r="E1815" t="str">
        <f t="shared" si="1865"/>
        <v>GWe/yr.</v>
      </c>
      <c r="F1815" s="1">
        <f>SUM(F1816:F1822)</f>
        <v>0.10551583464287448</v>
      </c>
      <c r="G1815" s="1">
        <f t="shared" ref="G1815:K1815" si="1890">SUM(G1816:G1822)</f>
        <v>0.10551972476029695</v>
      </c>
      <c r="H1815" s="1">
        <f t="shared" si="1890"/>
        <v>0.51178252990081263</v>
      </c>
      <c r="I1815" s="1">
        <f t="shared" si="1890"/>
        <v>0.80962869825206896</v>
      </c>
      <c r="J1815" s="1">
        <f t="shared" si="1890"/>
        <v>0.8347201560983708</v>
      </c>
      <c r="K1815" s="1">
        <f t="shared" si="1890"/>
        <v>0.90945956797125171</v>
      </c>
      <c r="L1815" s="1">
        <f t="shared" ref="L1815" si="1891">SUM(L1816:L1822)</f>
        <v>1.0843157045763723</v>
      </c>
      <c r="N1815" s="1"/>
    </row>
    <row r="1816" spans="2:14" x14ac:dyDescent="0.35">
      <c r="B1816" s="5" t="str">
        <f t="shared" si="1884"/>
        <v>SPS1</v>
      </c>
      <c r="C1816" s="5" t="str">
        <f t="shared" si="1884"/>
        <v>CH</v>
      </c>
      <c r="D1816" t="s">
        <v>1846</v>
      </c>
      <c r="E1816" t="str">
        <f t="shared" si="1865"/>
        <v>GWe/yr.</v>
      </c>
      <c r="F1816" s="1">
        <f>'[1]Electricity and CHPs_CAP'!B$63</f>
        <v>0.1</v>
      </c>
      <c r="G1816" s="1">
        <f>'[1]Electricity and CHPs_CAP'!C$63</f>
        <v>9.9997978148670424E-2</v>
      </c>
      <c r="H1816" s="1">
        <f>'[1]Electricity and CHPs_CAP'!D$63</f>
        <v>9.9997689390686539E-2</v>
      </c>
      <c r="I1816" s="1">
        <f>'[1]Electricity and CHPs_CAP'!E$63</f>
        <v>9.999752899883417E-2</v>
      </c>
      <c r="J1816" s="1">
        <f>'[2]Electricity and CHPs_CAP'!F$63</f>
        <v>8.0701687931357832E-2</v>
      </c>
      <c r="K1816" s="1">
        <f>'[2]Electricity and CHPs_CAP'!G$63</f>
        <v>8.0701658968928891E-2</v>
      </c>
      <c r="L1816" s="1">
        <f>'[2]Electricity and CHPs_CAP'!H$63</f>
        <v>8.0701785422901781E-2</v>
      </c>
      <c r="N1816" s="1"/>
    </row>
    <row r="1817" spans="2:14" x14ac:dyDescent="0.35">
      <c r="B1817" s="5" t="str">
        <f t="shared" si="1884"/>
        <v>SPS1</v>
      </c>
      <c r="C1817" s="5" t="str">
        <f t="shared" si="1884"/>
        <v>CH</v>
      </c>
      <c r="D1817" t="s">
        <v>1847</v>
      </c>
      <c r="E1817" t="str">
        <f t="shared" si="1865"/>
        <v>GWe/yr.</v>
      </c>
      <c r="F1817" s="1">
        <f>'[1]Electricity and CHPs_CAP'!B$64</f>
        <v>8.9249768425911499E-4</v>
      </c>
      <c r="G1817" s="1">
        <f>'[1]Electricity and CHPs_CAP'!C$64</f>
        <v>8.9325737775757116E-4</v>
      </c>
      <c r="H1817" s="1">
        <f>'[1]Electricity and CHPs_CAP'!D$64</f>
        <v>6.609030821311852E-3</v>
      </c>
      <c r="I1817" s="1">
        <f>'[1]Electricity and CHPs_CAP'!E$64</f>
        <v>2.6577893794245737E-2</v>
      </c>
      <c r="J1817" s="1">
        <f>'[2]Electricity and CHPs_CAP'!F$64</f>
        <v>1.1772488460370925E-2</v>
      </c>
      <c r="K1817" s="1">
        <f>'[2]Electricity and CHPs_CAP'!G$64</f>
        <v>1.2164641718407782E-2</v>
      </c>
      <c r="L1817" s="1">
        <f>'[2]Electricity and CHPs_CAP'!H$64</f>
        <v>1.342780846736855E-2</v>
      </c>
      <c r="N1817" s="1"/>
    </row>
    <row r="1818" spans="2:14" x14ac:dyDescent="0.35">
      <c r="B1818" s="5" t="str">
        <f t="shared" si="1884"/>
        <v>SPS1</v>
      </c>
      <c r="C1818" s="5" t="str">
        <f t="shared" si="1884"/>
        <v>CH</v>
      </c>
      <c r="D1818" t="s">
        <v>1848</v>
      </c>
      <c r="E1818" t="str">
        <f t="shared" si="1865"/>
        <v>GWe/yr.</v>
      </c>
      <c r="F1818" s="1">
        <f>'[1]Electricity and CHPs_CAP'!B$65</f>
        <v>7.1107342805583904E-4</v>
      </c>
      <c r="G1818" s="1">
        <f>'[1]Electricity and CHPs_CAP'!C$65</f>
        <v>7.1185824813393755E-4</v>
      </c>
      <c r="H1818" s="1">
        <f>'[1]Electricity and CHPs_CAP'!D$65</f>
        <v>4.0956985725972674E-3</v>
      </c>
      <c r="I1818" s="1">
        <f>'[1]Electricity and CHPs_CAP'!E$65</f>
        <v>1.3740575249159939E-2</v>
      </c>
      <c r="J1818" s="1">
        <f>'[2]Electricity and CHPs_CAP'!F$65</f>
        <v>1.4914743549355099E-2</v>
      </c>
      <c r="K1818" s="1">
        <f>'[2]Electricity and CHPs_CAP'!G$65</f>
        <v>2.6739834749886969E-2</v>
      </c>
      <c r="L1818" s="1">
        <f>'[2]Electricity and CHPs_CAP'!H$65</f>
        <v>2.674077142267986E-2</v>
      </c>
      <c r="N1818" s="1"/>
    </row>
    <row r="1819" spans="2:14" x14ac:dyDescent="0.35">
      <c r="B1819" s="5" t="str">
        <f t="shared" si="1884"/>
        <v>SPS1</v>
      </c>
      <c r="C1819" s="5" t="str">
        <f t="shared" si="1884"/>
        <v>CH</v>
      </c>
      <c r="D1819" t="s">
        <v>1849</v>
      </c>
      <c r="E1819" t="str">
        <f t="shared" si="1865"/>
        <v>GWe/yr.</v>
      </c>
      <c r="F1819" s="1">
        <f>'[1]Electricity and CHPs_CAP'!B$66</f>
        <v>6.507453594336495E-4</v>
      </c>
      <c r="G1819" s="1">
        <f>'[1]Electricity and CHPs_CAP'!C$66</f>
        <v>6.5147022114194375E-4</v>
      </c>
      <c r="H1819" s="1">
        <f>'[1]Electricity and CHPs_CAP'!D$66</f>
        <v>6.9507253372042083E-2</v>
      </c>
      <c r="I1819" s="1">
        <f>'[1]Electricity and CHPs_CAP'!E$66</f>
        <v>0.11321610574650248</v>
      </c>
      <c r="J1819" s="1">
        <f>'[2]Electricity and CHPs_CAP'!F$66</f>
        <v>0.12281496710949186</v>
      </c>
      <c r="K1819" s="1">
        <f>'[2]Electricity and CHPs_CAP'!G$66</f>
        <v>0.13311568969491228</v>
      </c>
      <c r="L1819" s="1">
        <f>'[2]Electricity and CHPs_CAP'!H$66</f>
        <v>0.16174942915642532</v>
      </c>
      <c r="N1819" s="1"/>
    </row>
    <row r="1820" spans="2:14" x14ac:dyDescent="0.35">
      <c r="B1820" s="5" t="str">
        <f t="shared" si="1884"/>
        <v>SPS1</v>
      </c>
      <c r="C1820" s="5" t="str">
        <f t="shared" si="1884"/>
        <v>CH</v>
      </c>
      <c r="D1820" t="s">
        <v>1855</v>
      </c>
      <c r="E1820" t="str">
        <f t="shared" si="1865"/>
        <v>GWe/yr.</v>
      </c>
      <c r="F1820" s="1">
        <f>'[1]Electricity and CHPs_CAP'!B$67</f>
        <v>1.311601183637563E-3</v>
      </c>
      <c r="G1820" s="1">
        <f>'[1]Electricity and CHPs_CAP'!C$67</f>
        <v>1.3130767636974103E-3</v>
      </c>
      <c r="H1820" s="1">
        <f>'[1]Electricity and CHPs_CAP'!D$67</f>
        <v>0.19065663220069667</v>
      </c>
      <c r="I1820" s="1">
        <f>'[1]Electricity and CHPs_CAP'!E$67</f>
        <v>0.33104524672642388</v>
      </c>
      <c r="J1820" s="1">
        <f>'[2]Electricity and CHPs_CAP'!F$67</f>
        <v>0.36051946241762184</v>
      </c>
      <c r="K1820" s="1">
        <f>'[2]Electricity and CHPs_CAP'!G$67</f>
        <v>0.39227047628252132</v>
      </c>
      <c r="L1820" s="1">
        <f>'[2]Electricity and CHPs_CAP'!H$67</f>
        <v>0.48038478055143607</v>
      </c>
      <c r="N1820" s="1"/>
    </row>
    <row r="1821" spans="2:14" x14ac:dyDescent="0.35">
      <c r="B1821" s="5" t="str">
        <f t="shared" ref="B1821:C1822" si="1892">B1820</f>
        <v>SPS1</v>
      </c>
      <c r="C1821" s="5" t="str">
        <f t="shared" si="1892"/>
        <v>CH</v>
      </c>
      <c r="D1821" t="s">
        <v>1850</v>
      </c>
      <c r="E1821" t="str">
        <f t="shared" si="1865"/>
        <v>GWe/yr.</v>
      </c>
      <c r="F1821" s="1">
        <f>'[1]Electricity and CHPs_CAP'!B$68</f>
        <v>1.2797381200031653E-3</v>
      </c>
      <c r="G1821" s="1">
        <f>'[1]Electricity and CHPs_CAP'!C$68</f>
        <v>1.2811290170960607E-3</v>
      </c>
      <c r="H1821" s="1">
        <f>'[1]Electricity and CHPs_CAP'!D$68</f>
        <v>1.6814923179057851E-2</v>
      </c>
      <c r="I1821" s="1">
        <f>'[1]Electricity and CHPs_CAP'!E$68</f>
        <v>1.6940757007204557E-2</v>
      </c>
      <c r="J1821" s="1">
        <f>'[2]Electricity and CHPs_CAP'!F$68</f>
        <v>1.8227934649727585E-2</v>
      </c>
      <c r="K1821" s="1">
        <f>'[2]Electricity and CHPs_CAP'!G$68</f>
        <v>1.9766433857519604E-2</v>
      </c>
      <c r="L1821" s="1">
        <f>'[2]Electricity and CHPs_CAP'!H$68</f>
        <v>2.3979831883294188E-2</v>
      </c>
      <c r="N1821" s="1"/>
    </row>
    <row r="1822" spans="2:14" x14ac:dyDescent="0.35">
      <c r="B1822" s="5" t="str">
        <f t="shared" si="1892"/>
        <v>SPS1</v>
      </c>
      <c r="C1822" s="5" t="str">
        <f t="shared" si="1892"/>
        <v>CH</v>
      </c>
      <c r="D1822" t="s">
        <v>1851</v>
      </c>
      <c r="E1822" t="str">
        <f t="shared" si="1865"/>
        <v>GWe/yr.</v>
      </c>
      <c r="F1822" s="1">
        <f>'[1]Electricity and CHPs_CAP'!B$69</f>
        <v>6.701788674851601E-4</v>
      </c>
      <c r="G1822" s="1">
        <f>'[1]Electricity and CHPs_CAP'!C$69</f>
        <v>6.7095498379959634E-4</v>
      </c>
      <c r="H1822" s="1">
        <f>'[1]Electricity and CHPs_CAP'!D$69</f>
        <v>0.12410130236442038</v>
      </c>
      <c r="I1822" s="1">
        <f>'[1]Electricity and CHPs_CAP'!E$69</f>
        <v>0.2081105907296982</v>
      </c>
      <c r="J1822" s="1">
        <f>'[2]Electricity and CHPs_CAP'!F$69</f>
        <v>0.22576887198044562</v>
      </c>
      <c r="K1822" s="1">
        <f>'[2]Electricity and CHPs_CAP'!G$69</f>
        <v>0.24470083269907481</v>
      </c>
      <c r="L1822" s="1">
        <f>'[2]Electricity and CHPs_CAP'!H$69</f>
        <v>0.2973312976722664</v>
      </c>
      <c r="N1822" s="1"/>
    </row>
    <row r="1823" spans="2:14" x14ac:dyDescent="0.35">
      <c r="B1823" s="5" t="str">
        <f t="shared" ref="B1823:C1823" si="1893">B1822</f>
        <v>SPS1</v>
      </c>
      <c r="C1823" s="5" t="str">
        <f t="shared" si="1893"/>
        <v>CH</v>
      </c>
      <c r="D1823" s="2" t="s">
        <v>1860</v>
      </c>
      <c r="E1823" s="2" t="s">
        <v>1858</v>
      </c>
      <c r="F1823" s="3">
        <f>SUM(F1824,F1843)</f>
        <v>11.163774199111765</v>
      </c>
      <c r="G1823" s="3">
        <f t="shared" ref="G1823:K1823" si="1894">SUM(G1824,G1843)</f>
        <v>11.780570880046316</v>
      </c>
      <c r="H1823" s="3">
        <f t="shared" si="1894"/>
        <v>11.564642944725813</v>
      </c>
      <c r="I1823" s="3">
        <f t="shared" si="1894"/>
        <v>13.053328528237085</v>
      </c>
      <c r="J1823" s="3">
        <f t="shared" si="1894"/>
        <v>9.4203475548968445</v>
      </c>
      <c r="K1823" s="3">
        <f t="shared" si="1894"/>
        <v>9.1068360715341221</v>
      </c>
      <c r="L1823" s="3">
        <f t="shared" ref="L1823" si="1895">SUM(L1824,L1843)</f>
        <v>8.5287543927512566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9.3027827089572881</v>
      </c>
      <c r="G1824" s="1">
        <f t="shared" ref="G1824:K1824" si="1896">SUM(G1825,G1828,G1830,G1833,G1835,G1837,G1839,G1841)</f>
        <v>9.7935017138681992</v>
      </c>
      <c r="H1824" s="1">
        <f t="shared" si="1896"/>
        <v>9.6988605933424523</v>
      </c>
      <c r="I1824" s="1">
        <f t="shared" si="1896"/>
        <v>11.041349413762145</v>
      </c>
      <c r="J1824" s="1">
        <f t="shared" si="1896"/>
        <v>7.6074492087666528</v>
      </c>
      <c r="K1824" s="1">
        <f t="shared" si="1896"/>
        <v>7.0520369980871802</v>
      </c>
      <c r="L1824" s="1">
        <f t="shared" ref="L1824" si="1897">SUM(L1825,L1828,L1830,L1833,L1835,L1837,L1839,L1841)</f>
        <v>6.2972056934426215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2.1116619560838541</v>
      </c>
      <c r="G1825" s="1">
        <f t="shared" ref="G1825:K1825" si="1898">SUM(G1826:G1827)</f>
        <v>2.3825222003276219</v>
      </c>
      <c r="H1825" s="1">
        <f t="shared" si="1898"/>
        <v>2.7794572265270525</v>
      </c>
      <c r="I1825" s="1">
        <f t="shared" si="1898"/>
        <v>3.9872901664621225</v>
      </c>
      <c r="J1825" s="1">
        <f t="shared" si="1898"/>
        <v>4.5837663594242875</v>
      </c>
      <c r="K1825" s="1">
        <f t="shared" si="1898"/>
        <v>5.2242273622286719</v>
      </c>
      <c r="L1825" s="1">
        <f t="shared" ref="L1825" si="1899">SUM(L1826:L1827)</f>
        <v>5.193812067427678</v>
      </c>
      <c r="N1825" s="1"/>
    </row>
    <row r="1826" spans="2:14" x14ac:dyDescent="0.35">
      <c r="B1826" s="5" t="str">
        <f t="shared" ref="B1826:C1826" si="1900">B1825</f>
        <v>SPS1</v>
      </c>
      <c r="C1826" s="5" t="str">
        <f t="shared" si="1900"/>
        <v>CH</v>
      </c>
      <c r="D1826" t="s">
        <v>1862</v>
      </c>
      <c r="E1826" t="str">
        <f t="shared" ref="E1826:E1889" si="1901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0.6725713777334561</v>
      </c>
      <c r="G1826" s="1" cm="1">
        <f t="array" ref="G1826">SUMPRODUCT(([1]OUT_FinalEnergyCons!$B$4:$B$10000="var_cap")*1,(ISNUMBER(SEARCH("RH*-SHELCBR",[1]OUT_FinalEnergyCons!$A$4:$A$10000)))*1,[1]OUT_FinalEnergyCons!E$4:E$10000)</f>
        <v>0.71900846924566175</v>
      </c>
      <c r="H1826" s="1" cm="1">
        <f t="array" ref="H1826">SUMPRODUCT(([1]OUT_FinalEnergyCons!$B$4:$B$10000="var_cap")*1,(ISNUMBER(SEARCH("RH*-SHELCBR",[1]OUT_FinalEnergyCons!$A$4:$A$10000)))*1,[1]OUT_FinalEnergyCons!F$4:F$10000)</f>
        <v>0.14845315742814283</v>
      </c>
      <c r="I1826" s="1" cm="1">
        <f t="array" ref="I1826">SUMPRODUCT(([1]OUT_FinalEnergyCons!$B$4:$B$10000="var_cap")*1,(ISNUMBER(SEARCH("RH*-SHELCBR",[1]OUT_FinalEnergyCons!$A$4:$A$10000)))*1,[1]OUT_FinalEnergyCons!G$4:G$10000)</f>
        <v>5.6440546894756416E-2</v>
      </c>
      <c r="J1826" s="1" cm="1">
        <f t="array" ref="J1826">SUMPRODUCT(([2]OUT_FinalEnergyCons!$B$4:$B$10000="var_cap")*1,(ISNUMBER(SEARCH("RH*-SHELCBR",[2]OUT_FinalEnergyCons!$A$4:$A$10000)))*1,[2]OUT_FinalEnergyCons!H$4:H$10000)</f>
        <v>1.4707530031255637E-2</v>
      </c>
      <c r="K1826" s="1" cm="1">
        <f t="array" ref="K1826">SUMPRODUCT(([2]OUT_FinalEnergyCons!$B$4:$B$10000="var_cap")*1,(ISNUMBER(SEARCH("RH*-SHELCBR",[2]OUT_FinalEnergyCons!$A$4:$A$10000)))*1,[2]OUT_FinalEnergyCons!I$4:I$10000)</f>
        <v>3.0923868924513324E-3</v>
      </c>
      <c r="L1826" s="1" cm="1">
        <f t="array" ref="L1826">SUMPRODUCT(([2]OUT_FinalEnergyCons!$B$4:$B$10000="var_cap")*1,(ISNUMBER(SEARCH("RH*-SHELCBR",[2]OUT_FinalEnergyCons!$A$4:$A$10000)))*1,[2]OUT_FinalEnergyCons!J$4:J$10000)</f>
        <v>1.3324353199075125E-3</v>
      </c>
      <c r="N1826" s="1"/>
    </row>
    <row r="1827" spans="2:14" x14ac:dyDescent="0.35">
      <c r="B1827" s="5" t="str">
        <f t="shared" ref="B1827:C1827" si="1902">B1826</f>
        <v>SPS1</v>
      </c>
      <c r="C1827" s="5" t="str">
        <f t="shared" si="1902"/>
        <v>CH</v>
      </c>
      <c r="D1827" t="s">
        <v>1863</v>
      </c>
      <c r="E1827" t="str">
        <f t="shared" si="1901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1.439090578350398</v>
      </c>
      <c r="G1827" s="1" cm="1">
        <f t="array" ref="G1827">SUMPRODUCT(([1]OUT_FinalEnergyCons!$B$4:$B$10000="var_cap")*1,ISNUMBER(SEARCH("RH*-SHELCHP",[1]OUT_FinalEnergyCons!$A$4:$A$10000))*1,[1]OUT_FinalEnergyCons!E$4:E$10000)</f>
        <v>1.6635137310819601</v>
      </c>
      <c r="H1827" s="1" cm="1">
        <f t="array" ref="H1827">SUMPRODUCT(([1]OUT_FinalEnergyCons!$B$4:$B$10000="var_cap")*1,ISNUMBER(SEARCH("RH*-SHELCHP",[1]OUT_FinalEnergyCons!$A$4:$A$10000))*1,[1]OUT_FinalEnergyCons!F$4:F$10000)</f>
        <v>2.6310040690989096</v>
      </c>
      <c r="I1827" s="1" cm="1">
        <f t="array" ref="I1827">SUMPRODUCT(([1]OUT_FinalEnergyCons!$B$4:$B$10000="var_cap")*1,ISNUMBER(SEARCH("RH*-SHELCHP",[1]OUT_FinalEnergyCons!$A$4:$A$10000))*1,[1]OUT_FinalEnergyCons!G$4:G$10000)</f>
        <v>3.9308496195673661</v>
      </c>
      <c r="J1827" s="1" cm="1">
        <f t="array" ref="J1827">SUMPRODUCT(([2]OUT_FinalEnergyCons!$B$4:$B$10000="var_cap")*1,ISNUMBER(SEARCH("RH*-SHELCHP",[2]OUT_FinalEnergyCons!$A$4:$A$10000))*1,[2]OUT_FinalEnergyCons!H$4:H$10000)</f>
        <v>4.5690588293930317</v>
      </c>
      <c r="K1827" s="1" cm="1">
        <f t="array" ref="K1827">SUMPRODUCT(([2]OUT_FinalEnergyCons!$B$4:$B$10000="var_cap")*1,ISNUMBER(SEARCH("RH*-SHELCHP",[2]OUT_FinalEnergyCons!$A$4:$A$10000))*1,[2]OUT_FinalEnergyCons!I$4:I$10000)</f>
        <v>5.2211349753362208</v>
      </c>
      <c r="L1827" s="1" cm="1">
        <f t="array" ref="L1827">SUMPRODUCT(([2]OUT_FinalEnergyCons!$B$4:$B$10000="var_cap")*1,ISNUMBER(SEARCH("RH*-SHELCHP",[2]OUT_FinalEnergyCons!$A$4:$A$10000))*1,[2]OUT_FinalEnergyCons!J$4:J$10000)</f>
        <v>5.1924796321077702</v>
      </c>
      <c r="N1827" s="1"/>
    </row>
    <row r="1828" spans="2:14" x14ac:dyDescent="0.35">
      <c r="B1828" s="5" t="str">
        <f t="shared" ref="B1828:C1828" si="1903">B1827</f>
        <v>SPS1</v>
      </c>
      <c r="C1828" s="5" t="str">
        <f t="shared" si="1903"/>
        <v>CH</v>
      </c>
      <c r="D1828" t="s">
        <v>1864</v>
      </c>
      <c r="E1828" t="str">
        <f t="shared" si="1901"/>
        <v>GWth/yr.</v>
      </c>
      <c r="F1828" s="1">
        <f>F1829</f>
        <v>3.4074053831106799</v>
      </c>
      <c r="G1828" s="1">
        <f t="shared" ref="G1828:L1828" si="1904">G1829</f>
        <v>3.3399683846688299</v>
      </c>
      <c r="H1828" s="1">
        <f t="shared" si="1904"/>
        <v>2.8131938992318317</v>
      </c>
      <c r="I1828" s="1">
        <f t="shared" si="1904"/>
        <v>2.8128562361605023</v>
      </c>
      <c r="J1828" s="1">
        <f t="shared" si="1904"/>
        <v>0.7983671411577431</v>
      </c>
      <c r="K1828" s="1">
        <f t="shared" si="1904"/>
        <v>0.26584347252438295</v>
      </c>
      <c r="L1828" s="1">
        <f t="shared" si="1904"/>
        <v>3.4698362353723602E-2</v>
      </c>
      <c r="N1828" s="1"/>
    </row>
    <row r="1829" spans="2:14" x14ac:dyDescent="0.35">
      <c r="B1829" s="5" t="str">
        <f t="shared" ref="B1829:C1829" si="1905">B1828</f>
        <v>SPS1</v>
      </c>
      <c r="C1829" s="5" t="str">
        <f t="shared" si="1905"/>
        <v>CH</v>
      </c>
      <c r="D1829" t="s">
        <v>1865</v>
      </c>
      <c r="E1829" t="str">
        <f t="shared" si="1901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3.3399683846688299</v>
      </c>
      <c r="H1829" s="1" cm="1">
        <f t="array" ref="H1829">SUMPRODUCT(([1]OUT_FinalEnergyCons!$B$4:$B$10000="var_cap")*1, (ISNUMBER(SEARCH("RH*-SHLFOBR",[1]OUT_FinalEnergyCons!$A$4:$A$10000)))*1,[1]OUT_FinalEnergyCons!F$4:F$10000)</f>
        <v>2.8131938992318317</v>
      </c>
      <c r="I1829" s="1" cm="1">
        <f t="array" ref="I1829">SUMPRODUCT(([1]OUT_FinalEnergyCons!$B$4:$B$10000="var_cap")*1, (ISNUMBER(SEARCH("RH*-SHLFOBR",[1]OUT_FinalEnergyCons!$A$4:$A$10000)))*1,[1]OUT_FinalEnergyCons!G$4:G$10000)</f>
        <v>2.8128562361605023</v>
      </c>
      <c r="J1829" s="1" cm="1">
        <f t="array" ref="J1829">SUMPRODUCT(([2]OUT_FinalEnergyCons!$B$4:$B$10000="var_cap")*1, (ISNUMBER(SEARCH("RH*-SHLFOBR",[2]OUT_FinalEnergyCons!$A$4:$A$10000)))*1,[2]OUT_FinalEnergyCons!H$4:H$10000)</f>
        <v>0.7983671411577431</v>
      </c>
      <c r="K1829" s="1" cm="1">
        <f t="array" ref="K1829">SUMPRODUCT(([2]OUT_FinalEnergyCons!$B$4:$B$10000="var_cap")*1, (ISNUMBER(SEARCH("RH*-SHLFOBR",[2]OUT_FinalEnergyCons!$A$4:$A$10000)))*1,[2]OUT_FinalEnergyCons!I$4:I$10000)</f>
        <v>0.26584347252438295</v>
      </c>
      <c r="L1829" s="1" cm="1">
        <f t="array" ref="L1829">SUMPRODUCT(([2]OUT_FinalEnergyCons!$B$4:$B$10000="var_cap")*1, (ISNUMBER(SEARCH("RH*-SHLFOBR",[2]OUT_FinalEnergyCons!$A$4:$A$10000)))*1,[2]OUT_FinalEnergyCons!J$4:J$10000)</f>
        <v>3.4698362353723602E-2</v>
      </c>
      <c r="N1829" s="1"/>
    </row>
    <row r="1830" spans="2:14" x14ac:dyDescent="0.35">
      <c r="B1830" s="5" t="str">
        <f t="shared" ref="B1830:C1830" si="1906">B1829</f>
        <v>SPS1</v>
      </c>
      <c r="C1830" s="5" t="str">
        <f t="shared" si="1906"/>
        <v>CH</v>
      </c>
      <c r="D1830" t="s">
        <v>1866</v>
      </c>
      <c r="E1830" t="str">
        <f t="shared" si="1901"/>
        <v>GWth/yr.</v>
      </c>
      <c r="F1830" s="1">
        <f>SUM(F1831:F1832)</f>
        <v>2.7687541997235714</v>
      </c>
      <c r="G1830" s="1">
        <f t="shared" ref="G1830:K1830" si="1907">SUM(G1831:G1832)</f>
        <v>2.936729298719329</v>
      </c>
      <c r="H1830" s="1">
        <f t="shared" si="1907"/>
        <v>3.0712698910658589</v>
      </c>
      <c r="I1830" s="1">
        <f t="shared" si="1907"/>
        <v>3.2080141505943862</v>
      </c>
      <c r="J1830" s="1">
        <f t="shared" si="1907"/>
        <v>1.5081603618296184</v>
      </c>
      <c r="K1830" s="1">
        <f t="shared" si="1907"/>
        <v>0.98132620148352634</v>
      </c>
      <c r="L1830" s="1">
        <f t="shared" ref="L1830" si="1908">SUM(L1831:L1832)</f>
        <v>0.72608201453845689</v>
      </c>
      <c r="N1830" s="1"/>
    </row>
    <row r="1831" spans="2:14" x14ac:dyDescent="0.35">
      <c r="B1831" s="5" t="str">
        <f t="shared" ref="B1831:C1831" si="1909">B1830</f>
        <v>SPS1</v>
      </c>
      <c r="C1831" s="5" t="str">
        <f t="shared" si="1909"/>
        <v>CH</v>
      </c>
      <c r="D1831" t="s">
        <v>1867</v>
      </c>
      <c r="E1831" t="str">
        <f t="shared" si="1901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2.9367260668074615</v>
      </c>
      <c r="H1831" s="1" cm="1">
        <f t="array" ref="H1831">SUMPRODUCT(([1]OUT_FinalEnergyCons!$B$4:$B$10000="var_cap")*1, (ISNUMBER(SEARCH("RH*-SHNGABR",[1]OUT_FinalEnergyCons!$A$4:$A$10000)))*1,[1]OUT_FinalEnergyCons!F$4:F$10000)</f>
        <v>2.7854050542482205</v>
      </c>
      <c r="I1831" s="1" cm="1">
        <f t="array" ref="I1831">SUMPRODUCT(([1]OUT_FinalEnergyCons!$B$4:$B$10000="var_cap")*1, (ISNUMBER(SEARCH("RH*-SHNGABR",[1]OUT_FinalEnergyCons!$A$4:$A$10000)))*1,[1]OUT_FinalEnergyCons!G$4:G$10000)</f>
        <v>2.7850610691014785</v>
      </c>
      <c r="J1831" s="1" cm="1">
        <f t="array" ref="J1831">SUMPRODUCT(([2]OUT_FinalEnergyCons!$B$4:$B$10000="var_cap")*1, (ISNUMBER(SEARCH("RH*-SHNGABR",[2]OUT_FinalEnergyCons!$A$4:$A$10000)))*1,[2]OUT_FinalEnergyCons!H$4:H$10000)</f>
        <v>0.9976476216279283</v>
      </c>
      <c r="K1831" s="1" cm="1">
        <f t="array" ref="K1831">SUMPRODUCT(([2]OUT_FinalEnergyCons!$B$4:$B$10000="var_cap")*1, (ISNUMBER(SEARCH("RH*-SHNGABR",[2]OUT_FinalEnergyCons!$A$4:$A$10000)))*1,[2]OUT_FinalEnergyCons!I$4:I$10000)</f>
        <v>0.40162068567578857</v>
      </c>
      <c r="L1831" s="1" cm="1">
        <f t="array" ref="L1831">SUMPRODUCT(([2]OUT_FinalEnergyCons!$B$4:$B$10000="var_cap")*1, (ISNUMBER(SEARCH("RH*-SHNGABR",[2]OUT_FinalEnergyCons!$A$4:$A$10000)))*1,[2]OUT_FinalEnergyCons!J$4:J$10000)</f>
        <v>0.18382623154511837</v>
      </c>
      <c r="N1831" s="1"/>
    </row>
    <row r="1832" spans="2:14" x14ac:dyDescent="0.35">
      <c r="B1832" s="5" t="str">
        <f t="shared" ref="B1832:C1832" si="1910">B1831</f>
        <v>SPS1</v>
      </c>
      <c r="C1832" s="5" t="str">
        <f t="shared" si="1910"/>
        <v>CH</v>
      </c>
      <c r="D1832" t="s">
        <v>1868</v>
      </c>
      <c r="E1832" t="str">
        <f t="shared" si="1901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1.48485221251809E-7</v>
      </c>
      <c r="G1832" s="1" cm="1">
        <f t="array" ref="G1832">SUMPRODUCT(([1]OUT_FinalEnergyCons!$B$4:$B$10000="var_cap")*1,ISNUMBER(SEARCH("RH*-SHngahp",[1]OUT_FinalEnergyCons!$A$4:$A$10000))*1,[1]OUT_FinalEnergyCons!E$4:E$10000)</f>
        <v>3.2319118675259591E-6</v>
      </c>
      <c r="H1832" s="1" cm="1">
        <f t="array" ref="H1832">SUMPRODUCT(([1]OUT_FinalEnergyCons!$B$4:$B$10000="var_cap")*1,ISNUMBER(SEARCH("RH*-SHngahp",[1]OUT_FinalEnergyCons!$A$4:$A$10000))*1,[1]OUT_FinalEnergyCons!F$4:F$10000)</f>
        <v>0.28586483681763858</v>
      </c>
      <c r="I1832" s="1" cm="1">
        <f t="array" ref="I1832">SUMPRODUCT(([1]OUT_FinalEnergyCons!$B$4:$B$10000="var_cap")*1,ISNUMBER(SEARCH("RH*-SHngahp",[1]OUT_FinalEnergyCons!$A$4:$A$10000))*1,[1]OUT_FinalEnergyCons!G$4:G$10000)</f>
        <v>0.42295308149290761</v>
      </c>
      <c r="J1832" s="1" cm="1">
        <f t="array" ref="J1832">SUMPRODUCT(([2]OUT_FinalEnergyCons!$B$4:$B$10000="var_cap")*1,ISNUMBER(SEARCH("RH*-SHngahp",[2]OUT_FinalEnergyCons!$A$4:$A$10000))*1,[2]OUT_FinalEnergyCons!H$4:H$10000)</f>
        <v>0.51051274020169024</v>
      </c>
      <c r="K1832" s="1" cm="1">
        <f t="array" ref="K1832">SUMPRODUCT(([2]OUT_FinalEnergyCons!$B$4:$B$10000="var_cap")*1,ISNUMBER(SEARCH("RH*-SHngahp",[2]OUT_FinalEnergyCons!$A$4:$A$10000))*1,[2]OUT_FinalEnergyCons!I$4:I$10000)</f>
        <v>0.57970551580773777</v>
      </c>
      <c r="L1832" s="1" cm="1">
        <f t="array" ref="L1832">SUMPRODUCT(([2]OUT_FinalEnergyCons!$B$4:$B$10000="var_cap")*1,ISNUMBER(SEARCH("RH*-SHngahp",[2]OUT_FinalEnergyCons!$A$4:$A$10000))*1,[2]OUT_FinalEnergyCons!J$4:J$10000)</f>
        <v>0.54225578299333854</v>
      </c>
      <c r="N1832" s="1"/>
    </row>
    <row r="1833" spans="2:14" x14ac:dyDescent="0.35">
      <c r="B1833" s="5" t="str">
        <f t="shared" ref="B1833:C1833" si="1911">B1832</f>
        <v>SPS1</v>
      </c>
      <c r="C1833" s="5" t="str">
        <f t="shared" si="1911"/>
        <v>CH</v>
      </c>
      <c r="D1833" t="s">
        <v>1869</v>
      </c>
      <c r="E1833" t="str">
        <f t="shared" si="1901"/>
        <v>GWth/yr.</v>
      </c>
      <c r="F1833" s="1">
        <f>F1834</f>
        <v>7.0000000000000001E-3</v>
      </c>
      <c r="G1833" s="1">
        <f t="shared" ref="G1833:L1833" si="1912">G1834</f>
        <v>6.9551746368697216E-3</v>
      </c>
      <c r="H1833" s="1">
        <f t="shared" si="1912"/>
        <v>2.62374523437949E-3</v>
      </c>
      <c r="I1833" s="1">
        <f t="shared" si="1912"/>
        <v>5.2371564329719948E-5</v>
      </c>
      <c r="J1833" s="1">
        <f t="shared" si="1912"/>
        <v>1.5477346418798447E-6</v>
      </c>
      <c r="K1833" s="1">
        <f t="shared" si="1912"/>
        <v>0</v>
      </c>
      <c r="L1833" s="1">
        <f t="shared" si="1912"/>
        <v>0</v>
      </c>
      <c r="N1833" s="1"/>
    </row>
    <row r="1834" spans="2:14" x14ac:dyDescent="0.35">
      <c r="B1834" s="5" t="str">
        <f t="shared" ref="B1834:C1834" si="1913">B1833</f>
        <v>SPS1</v>
      </c>
      <c r="C1834" s="5" t="str">
        <f t="shared" si="1913"/>
        <v>CH</v>
      </c>
      <c r="D1834" t="s">
        <v>1870</v>
      </c>
      <c r="E1834" t="str">
        <f t="shared" si="1901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6.9551746368697216E-3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2.62374523437949E-3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5.2371564329719948E-5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1.5477346418798447E-6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0.68950456811761818</v>
      </c>
      <c r="G1835" s="1">
        <f t="shared" ref="G1835:L1835" si="1914">G1836</f>
        <v>0.7501395719659073</v>
      </c>
      <c r="H1835" s="1">
        <f t="shared" si="1914"/>
        <v>0.81917602924838506</v>
      </c>
      <c r="I1835" s="1">
        <f t="shared" si="1914"/>
        <v>0.81916979157002145</v>
      </c>
      <c r="J1835" s="1">
        <f t="shared" si="1914"/>
        <v>0.63203045053791884</v>
      </c>
      <c r="K1835" s="1">
        <f t="shared" si="1914"/>
        <v>0.52553609586094219</v>
      </c>
      <c r="L1835" s="1">
        <f t="shared" si="1914"/>
        <v>0.29598258927528148</v>
      </c>
      <c r="N1835" s="1"/>
    </row>
    <row r="1836" spans="2:14" x14ac:dyDescent="0.35">
      <c r="B1836" s="5" t="str">
        <f t="shared" ref="B1836:C1836" si="1915">B1835</f>
        <v>SPS1</v>
      </c>
      <c r="C1836" s="5" t="str">
        <f t="shared" si="1915"/>
        <v>CH</v>
      </c>
      <c r="D1836" t="s">
        <v>1872</v>
      </c>
      <c r="E1836" t="str">
        <f t="shared" si="1901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0.68950456811761818</v>
      </c>
      <c r="G1836" s="1" cm="1">
        <f t="array" ref="G1836">SUMPRODUCT(([1]OUT_FinalEnergyCons!$B$4:$B$10000="var_cap")*1, (ISNUMBER(SEARCH("RH*-SHWODBR",[1]OUT_FinalEnergyCons!$A$4:$A$10000)))*1,[1]OUT_FinalEnergyCons!E$4:E$10000)</f>
        <v>0.7501395719659073</v>
      </c>
      <c r="H1836" s="1" cm="1">
        <f t="array" ref="H1836">SUMPRODUCT(([1]OUT_FinalEnergyCons!$B$4:$B$10000="var_cap")*1, (ISNUMBER(SEARCH("RH*-SHWODBR",[1]OUT_FinalEnergyCons!$A$4:$A$10000)))*1,[1]OUT_FinalEnergyCons!F$4:F$10000)</f>
        <v>0.81917602924838506</v>
      </c>
      <c r="I1836" s="1" cm="1">
        <f t="array" ref="I1836">SUMPRODUCT(([1]OUT_FinalEnergyCons!$B$4:$B$10000="var_cap")*1, (ISNUMBER(SEARCH("RH*-SHWODBR",[1]OUT_FinalEnergyCons!$A$4:$A$10000)))*1,[1]OUT_FinalEnergyCons!G$4:G$10000)</f>
        <v>0.81916979157002145</v>
      </c>
      <c r="J1836" s="1" cm="1">
        <f t="array" ref="J1836">SUMPRODUCT(([2]OUT_FinalEnergyCons!$B$4:$B$10000="var_cap")*1, (ISNUMBER(SEARCH("RH*-SHWODBR",[2]OUT_FinalEnergyCons!$A$4:$A$10000)))*1,[2]OUT_FinalEnergyCons!H$4:H$10000)</f>
        <v>0.63203045053791884</v>
      </c>
      <c r="K1836" s="1" cm="1">
        <f t="array" ref="K1836">SUMPRODUCT(([2]OUT_FinalEnergyCons!$B$4:$B$10000="var_cap")*1, (ISNUMBER(SEARCH("RH*-SHWODBR",[2]OUT_FinalEnergyCons!$A$4:$A$10000)))*1,[2]OUT_FinalEnergyCons!I$4:I$10000)</f>
        <v>0.52553609586094219</v>
      </c>
      <c r="L1836" s="1" cm="1">
        <f t="array" ref="L1836">SUMPRODUCT(([2]OUT_FinalEnergyCons!$B$4:$B$10000="var_cap")*1, (ISNUMBER(SEARCH("RH*-SHWODBR",[2]OUT_FinalEnergyCons!$A$4:$A$10000)))*1,[2]OUT_FinalEnergyCons!J$4:J$10000)</f>
        <v>0.29598258927528148</v>
      </c>
      <c r="N1836" s="1"/>
    </row>
    <row r="1837" spans="2:14" x14ac:dyDescent="0.35">
      <c r="B1837" s="5" t="str">
        <f t="shared" ref="B1837:C1837" si="1916">B1836</f>
        <v>SPS1</v>
      </c>
      <c r="C1837" s="5" t="str">
        <f t="shared" si="1916"/>
        <v>CH</v>
      </c>
      <c r="D1837" t="s">
        <v>1873</v>
      </c>
      <c r="E1837" t="str">
        <f t="shared" si="1901"/>
        <v>GWth/yr.</v>
      </c>
      <c r="F1837" s="1">
        <f>F1838</f>
        <v>0.20438252342496155</v>
      </c>
      <c r="G1837" s="1">
        <f t="shared" ref="G1837:L1837" si="1917">G1838</f>
        <v>0.24032403499440774</v>
      </c>
      <c r="H1837" s="1">
        <f t="shared" si="1917"/>
        <v>7.7926549445773527E-2</v>
      </c>
      <c r="I1837" s="1">
        <f t="shared" si="1917"/>
        <v>7.8778527409194193E-2</v>
      </c>
      <c r="J1837" s="1">
        <f t="shared" si="1917"/>
        <v>4.6909394577104323E-2</v>
      </c>
      <c r="K1837" s="1">
        <f t="shared" si="1917"/>
        <v>4.8740708401156456E-2</v>
      </c>
      <c r="L1837" s="1">
        <f t="shared" si="1917"/>
        <v>4.0405890903174278E-2</v>
      </c>
      <c r="N1837" s="1"/>
    </row>
    <row r="1838" spans="2:14" x14ac:dyDescent="0.35">
      <c r="B1838" s="5" t="str">
        <f t="shared" ref="B1838:C1838" si="1918">B1837</f>
        <v>SPS1</v>
      </c>
      <c r="C1838" s="5" t="str">
        <f t="shared" si="1918"/>
        <v>CH</v>
      </c>
      <c r="D1838" t="s">
        <v>1874</v>
      </c>
      <c r="E1838" t="str">
        <f t="shared" si="1901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0.20438252342496155</v>
      </c>
      <c r="G1838" s="1" cm="1">
        <f t="array" ref="G1838">SUMPRODUCT(([1]OUT_FinalEnergyCons!$B$4:$B$10000="var_cap")*1, (ISNUMBER(SEARCH("RH*-SHPLTBR",[1]OUT_FinalEnergyCons!$A$4:$A$10000)))*1,[1]OUT_FinalEnergyCons!E$4:E$10000)</f>
        <v>0.24032403499440774</v>
      </c>
      <c r="H1838" s="1" cm="1">
        <f t="array" ref="H1838">SUMPRODUCT(([1]OUT_FinalEnergyCons!$B$4:$B$10000="var_cap")*1, (ISNUMBER(SEARCH("RH*-SHPLTBR",[1]OUT_FinalEnergyCons!$A$4:$A$10000)))*1,[1]OUT_FinalEnergyCons!F$4:F$10000)</f>
        <v>7.7926549445773527E-2</v>
      </c>
      <c r="I1838" s="1" cm="1">
        <f t="array" ref="I1838">SUMPRODUCT(([1]OUT_FinalEnergyCons!$B$4:$B$10000="var_cap")*1, (ISNUMBER(SEARCH("RH*-SHPLTBR",[1]OUT_FinalEnergyCons!$A$4:$A$10000)))*1,[1]OUT_FinalEnergyCons!G$4:G$10000)</f>
        <v>7.8778527409194193E-2</v>
      </c>
      <c r="J1838" s="1" cm="1">
        <f t="array" ref="J1838">SUMPRODUCT(([2]OUT_FinalEnergyCons!$B$4:$B$10000="var_cap")*1, (ISNUMBER(SEARCH("RH*-SHPLTBR",[2]OUT_FinalEnergyCons!$A$4:$A$10000)))*1,[2]OUT_FinalEnergyCons!H$4:H$10000)</f>
        <v>4.6909394577104323E-2</v>
      </c>
      <c r="K1838" s="1" cm="1">
        <f t="array" ref="K1838">SUMPRODUCT(([2]OUT_FinalEnergyCons!$B$4:$B$10000="var_cap")*1, (ISNUMBER(SEARCH("RH*-SHPLTBR",[2]OUT_FinalEnergyCons!$A$4:$A$10000)))*1,[2]OUT_FinalEnergyCons!I$4:I$10000)</f>
        <v>4.8740708401156456E-2</v>
      </c>
      <c r="L1838" s="1" cm="1">
        <f t="array" ref="L1838">SUMPRODUCT(([2]OUT_FinalEnergyCons!$B$4:$B$10000="var_cap")*1, (ISNUMBER(SEARCH("RH*-SHPLTBR",[2]OUT_FinalEnergyCons!$A$4:$A$10000)))*1,[2]OUT_FinalEnergyCons!J$4:J$10000)</f>
        <v>4.0405890903174278E-2</v>
      </c>
      <c r="N1838" s="1"/>
    </row>
    <row r="1839" spans="2:14" x14ac:dyDescent="0.35">
      <c r="B1839" s="5" t="str">
        <f t="shared" ref="B1839:C1839" si="1919">B1838</f>
        <v>SPS1</v>
      </c>
      <c r="C1839" s="5" t="str">
        <f t="shared" si="1919"/>
        <v>CH</v>
      </c>
      <c r="D1839" t="s">
        <v>1875</v>
      </c>
      <c r="E1839" t="str">
        <f t="shared" si="1901"/>
        <v>GWth/yr.</v>
      </c>
      <c r="F1839" s="1">
        <f>F1840</f>
        <v>0.1140740784966027</v>
      </c>
      <c r="G1839" s="1">
        <f t="shared" ref="G1839:L1839" si="1920">G1840</f>
        <v>0.1368630485552331</v>
      </c>
      <c r="H1839" s="1">
        <f t="shared" si="1920"/>
        <v>0.13521325258917055</v>
      </c>
      <c r="I1839" s="1">
        <f t="shared" si="1920"/>
        <v>0.1351881700015915</v>
      </c>
      <c r="J1839" s="1">
        <f t="shared" si="1920"/>
        <v>3.821395350533785E-2</v>
      </c>
      <c r="K1839" s="1">
        <f t="shared" si="1920"/>
        <v>6.3631575885010304E-3</v>
      </c>
      <c r="L1839" s="1">
        <f t="shared" si="1920"/>
        <v>6.2247689443076029E-3</v>
      </c>
      <c r="N1839" s="1"/>
    </row>
    <row r="1840" spans="2:14" x14ac:dyDescent="0.35">
      <c r="B1840" s="5" t="str">
        <f t="shared" ref="B1840:C1840" si="1921">B1839</f>
        <v>SPS1</v>
      </c>
      <c r="C1840" s="5" t="str">
        <f t="shared" si="1921"/>
        <v>CH</v>
      </c>
      <c r="D1840" t="s">
        <v>1876</v>
      </c>
      <c r="E1840" t="str">
        <f t="shared" si="1901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0.1140740784966027</v>
      </c>
      <c r="G1840" s="1" cm="1">
        <f t="array" ref="G1840">SUMPRODUCT(([1]OUT_FinalEnergyCons!$B$4:$B$10000="var_cap")*1, (ISNUMBER(SEARCH("RH*-SHSOLBR",[1]OUT_FinalEnergyCons!$A$4:$A$10000)))*1,[1]OUT_FinalEnergyCons!E$4:E$10000)</f>
        <v>0.1368630485552331</v>
      </c>
      <c r="H1840" s="1" cm="1">
        <f t="array" ref="H1840">SUMPRODUCT(([1]OUT_FinalEnergyCons!$B$4:$B$10000="var_cap")*1, (ISNUMBER(SEARCH("RH*-SHSOLBR",[1]OUT_FinalEnergyCons!$A$4:$A$10000)))*1,[1]OUT_FinalEnergyCons!F$4:F$10000)</f>
        <v>0.13521325258917055</v>
      </c>
      <c r="I1840" s="1" cm="1">
        <f t="array" ref="I1840">SUMPRODUCT(([1]OUT_FinalEnergyCons!$B$4:$B$10000="var_cap")*1, (ISNUMBER(SEARCH("RH*-SHSOLBR",[1]OUT_FinalEnergyCons!$A$4:$A$10000)))*1,[1]OUT_FinalEnergyCons!G$4:G$10000)</f>
        <v>0.1351881700015915</v>
      </c>
      <c r="J1840" s="1" cm="1">
        <f t="array" ref="J1840">SUMPRODUCT(([2]OUT_FinalEnergyCons!$B$4:$B$10000="var_cap")*1, (ISNUMBER(SEARCH("RH*-SHSOLBR",[2]OUT_FinalEnergyCons!$A$4:$A$10000)))*1,[2]OUT_FinalEnergyCons!H$4:H$10000)</f>
        <v>3.821395350533785E-2</v>
      </c>
      <c r="K1840" s="1" cm="1">
        <f t="array" ref="K1840">SUMPRODUCT(([2]OUT_FinalEnergyCons!$B$4:$B$10000="var_cap")*1, (ISNUMBER(SEARCH("RH*-SHSOLBR",[2]OUT_FinalEnergyCons!$A$4:$A$10000)))*1,[2]OUT_FinalEnergyCons!I$4:I$10000)</f>
        <v>6.3631575885010304E-3</v>
      </c>
      <c r="L1840" s="1" cm="1">
        <f t="array" ref="L1840">SUMPRODUCT(([2]OUT_FinalEnergyCons!$B$4:$B$10000="var_cap")*1, (ISNUMBER(SEARCH("RH*-SHSOLBR",[2]OUT_FinalEnergyCons!$A$4:$A$10000)))*1,[2]OUT_FinalEnergyCons!J$4:J$10000)</f>
        <v>6.2247689443076029E-3</v>
      </c>
      <c r="N1840" s="1"/>
    </row>
    <row r="1841" spans="2:14" x14ac:dyDescent="0.35">
      <c r="B1841" s="5" t="str">
        <f t="shared" ref="B1841:C1841" si="1922">B1840</f>
        <v>SPS1</v>
      </c>
      <c r="C1841" s="5" t="str">
        <f t="shared" si="1922"/>
        <v>CH</v>
      </c>
      <c r="D1841" t="s">
        <v>1877</v>
      </c>
      <c r="E1841" t="str">
        <f t="shared" si="1901"/>
        <v>GWth/yr.</v>
      </c>
      <c r="F1841" s="1">
        <f>F1842</f>
        <v>0</v>
      </c>
      <c r="G1841" s="1">
        <f t="shared" ref="G1841:L1841" si="1923">G1842</f>
        <v>0</v>
      </c>
      <c r="H1841" s="1">
        <f t="shared" si="1923"/>
        <v>0</v>
      </c>
      <c r="I1841" s="1">
        <f t="shared" si="1923"/>
        <v>0</v>
      </c>
      <c r="J1841" s="1">
        <f t="shared" si="1923"/>
        <v>0</v>
      </c>
      <c r="K1841" s="1">
        <f t="shared" si="1923"/>
        <v>0</v>
      </c>
      <c r="L1841" s="1">
        <f t="shared" si="1923"/>
        <v>0</v>
      </c>
      <c r="N1841" s="1"/>
    </row>
    <row r="1842" spans="2:14" x14ac:dyDescent="0.35">
      <c r="B1842" s="5" t="str">
        <f t="shared" ref="B1842:C1842" si="1924">B1841</f>
        <v>SPS1</v>
      </c>
      <c r="C1842" s="5" t="str">
        <f t="shared" si="1924"/>
        <v>CH</v>
      </c>
      <c r="D1842" t="s">
        <v>1878</v>
      </c>
      <c r="E1842" t="str">
        <f t="shared" si="1901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5">B1842</f>
        <v>SPS1</v>
      </c>
      <c r="C1843" s="5" t="str">
        <f t="shared" si="1925"/>
        <v>CH</v>
      </c>
      <c r="D1843" t="s">
        <v>1879</v>
      </c>
      <c r="E1843" t="str">
        <f t="shared" si="1901"/>
        <v>GWth/yr.</v>
      </c>
      <c r="F1843" s="1">
        <f>SUM(F1844,F1847,F1849,F1852,F1854,F1856,F1858,F1860)</f>
        <v>1.8609914901544777</v>
      </c>
      <c r="G1843" s="1">
        <f t="shared" ref="G1843" si="1926">SUM(G1844,G1847,G1849,G1852,G1854,G1856,G1858,G1860)</f>
        <v>1.9870691661781157</v>
      </c>
      <c r="H1843" s="1">
        <f t="shared" ref="H1843" si="1927">SUM(H1844,H1847,H1849,H1852,H1854,H1856,H1858,H1860)</f>
        <v>1.8657823513833613</v>
      </c>
      <c r="I1843" s="1">
        <f t="shared" ref="I1843" si="1928">SUM(I1844,I1847,I1849,I1852,I1854,I1856,I1858,I1860)</f>
        <v>2.0119791144749399</v>
      </c>
      <c r="J1843" s="1">
        <f t="shared" ref="J1843" si="1929">SUM(J1844,J1847,J1849,J1852,J1854,J1856,J1858,J1860)</f>
        <v>1.8128983461301913</v>
      </c>
      <c r="K1843" s="1">
        <f t="shared" ref="K1843:L1843" si="1930">SUM(K1844,K1847,K1849,K1852,K1854,K1856,K1858,K1860)</f>
        <v>2.054799073446941</v>
      </c>
      <c r="L1843" s="1">
        <f t="shared" si="1930"/>
        <v>2.2315486993086342</v>
      </c>
      <c r="N1843" s="1"/>
    </row>
    <row r="1844" spans="2:14" x14ac:dyDescent="0.35">
      <c r="B1844" s="5" t="str">
        <f t="shared" ref="B1844:C1844" si="1931">B1843</f>
        <v>SPS1</v>
      </c>
      <c r="C1844" s="5" t="str">
        <f t="shared" si="1931"/>
        <v>CH</v>
      </c>
      <c r="D1844" t="s">
        <v>1880</v>
      </c>
      <c r="E1844" t="str">
        <f t="shared" si="1901"/>
        <v>GWth/yr.</v>
      </c>
      <c r="F1844" s="1">
        <f>SUM(F1845:F1846)</f>
        <v>0.65093338163233316</v>
      </c>
      <c r="G1844" s="1">
        <f t="shared" ref="G1844" si="1932">SUM(G1845:G1846)</f>
        <v>0.71793503133946224</v>
      </c>
      <c r="H1844" s="1">
        <f t="shared" ref="H1844" si="1933">SUM(H1845:H1846)</f>
        <v>0.68243737412686367</v>
      </c>
      <c r="I1844" s="1">
        <f t="shared" ref="I1844" si="1934">SUM(I1845:I1846)</f>
        <v>0.87017300079323601</v>
      </c>
      <c r="J1844" s="1">
        <f t="shared" ref="J1844" si="1935">SUM(J1845:J1846)</f>
        <v>0.9568069968060573</v>
      </c>
      <c r="K1844" s="1">
        <f t="shared" ref="K1844:L1844" si="1936">SUM(K1845:K1846)</f>
        <v>1.1761407507482589</v>
      </c>
      <c r="L1844" s="1">
        <f t="shared" si="1936"/>
        <v>1.3539534933721249</v>
      </c>
      <c r="N1844" s="1"/>
    </row>
    <row r="1845" spans="2:14" x14ac:dyDescent="0.35">
      <c r="B1845" s="5" t="str">
        <f t="shared" ref="B1845:C1845" si="1937">B1844</f>
        <v>SPS1</v>
      </c>
      <c r="C1845" s="5" t="str">
        <f t="shared" si="1937"/>
        <v>CH</v>
      </c>
      <c r="D1845" t="s">
        <v>1881</v>
      </c>
      <c r="E1845" t="str">
        <f t="shared" si="1901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0.43757854656117257</v>
      </c>
      <c r="G1845" s="1" cm="1">
        <f t="array" ref="G1845">SUMPRODUCT(([1]OUT_FinalEnergyCons!$B$4:$B$10000="var_cap")*1,(ISNUMBER(SEARCH("RH*-WHELCBR",[1]OUT_FinalEnergyCons!$A$4:$A$10000)))*1,[1]OUT_FinalEnergyCons!E$4:E$10000)</f>
        <v>0.47180187202433288</v>
      </c>
      <c r="H1845" s="1" cm="1">
        <f t="array" ref="H1845">SUMPRODUCT(([1]OUT_FinalEnergyCons!$B$4:$B$10000="var_cap")*1,(ISNUMBER(SEARCH("RH*-WHELCBR",[1]OUT_FinalEnergyCons!$A$4:$A$10000)))*1,[1]OUT_FinalEnergyCons!F$4:F$10000)</f>
        <v>0.3471626233182678</v>
      </c>
      <c r="I1845" s="1" cm="1">
        <f t="array" ref="I1845">SUMPRODUCT(([1]OUT_FinalEnergyCons!$B$4:$B$10000="var_cap")*1,(ISNUMBER(SEARCH("RH*-WHELCBR",[1]OUT_FinalEnergyCons!$A$4:$A$10000)))*1,[1]OUT_FinalEnergyCons!G$4:G$10000)</f>
        <v>0.24231395850045639</v>
      </c>
      <c r="J1845" s="1" cm="1">
        <f t="array" ref="J1845">SUMPRODUCT(([2]OUT_FinalEnergyCons!$B$4:$B$10000="var_cap")*1,(ISNUMBER(SEARCH("RH*-WHELCBR",[2]OUT_FinalEnergyCons!$A$4:$A$10000)))*1,[2]OUT_FinalEnergyCons!H$4:H$10000)</f>
        <v>0.12699103230456668</v>
      </c>
      <c r="K1845" s="1" cm="1">
        <f t="array" ref="K1845">SUMPRODUCT(([2]OUT_FinalEnergyCons!$B$4:$B$10000="var_cap")*1,(ISNUMBER(SEARCH("RH*-WHELCBR",[2]OUT_FinalEnergyCons!$A$4:$A$10000)))*1,[2]OUT_FinalEnergyCons!I$4:I$10000)</f>
        <v>0.1272481274313749</v>
      </c>
      <c r="L1845" s="1" cm="1">
        <f t="array" ref="L1845">SUMPRODUCT(([2]OUT_FinalEnergyCons!$B$4:$B$10000="var_cap")*1,(ISNUMBER(SEARCH("RH*-WHELCBR",[2]OUT_FinalEnergyCons!$A$4:$A$10000)))*1,[2]OUT_FinalEnergyCons!J$4:J$10000)</f>
        <v>0.10924522261067154</v>
      </c>
      <c r="N1845" s="1"/>
    </row>
    <row r="1846" spans="2:14" x14ac:dyDescent="0.35">
      <c r="B1846" s="5" t="str">
        <f t="shared" ref="B1846:C1846" si="1938">B1845</f>
        <v>SPS1</v>
      </c>
      <c r="C1846" s="5" t="str">
        <f t="shared" si="1938"/>
        <v>CH</v>
      </c>
      <c r="D1846" t="s">
        <v>1882</v>
      </c>
      <c r="E1846" t="str">
        <f t="shared" si="1901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0.2133548350711606</v>
      </c>
      <c r="G1846" s="1" cm="1">
        <f t="array" ref="G1846">SUMPRODUCT(([1]OUT_FinalEnergyCons!$B$4:$B$10000="var_cap")*1,ISNUMBER(SEARCH("RH*-WHELCHP",[1]OUT_FinalEnergyCons!$A$4:$A$10000))*1,[1]OUT_FinalEnergyCons!E$4:E$10000)</f>
        <v>0.24613315931512936</v>
      </c>
      <c r="H1846" s="1" cm="1">
        <f t="array" ref="H1846">SUMPRODUCT(([1]OUT_FinalEnergyCons!$B$4:$B$10000="var_cap")*1,ISNUMBER(SEARCH("RH*-WHELCHP",[1]OUT_FinalEnergyCons!$A$4:$A$10000))*1,[1]OUT_FinalEnergyCons!F$4:F$10000)</f>
        <v>0.33527475080859587</v>
      </c>
      <c r="I1846" s="1" cm="1">
        <f t="array" ref="I1846">SUMPRODUCT(([1]OUT_FinalEnergyCons!$B$4:$B$10000="var_cap")*1,ISNUMBER(SEARCH("RH*-WHELCHP",[1]OUT_FinalEnergyCons!$A$4:$A$10000))*1,[1]OUT_FinalEnergyCons!G$4:G$10000)</f>
        <v>0.62785904229277956</v>
      </c>
      <c r="J1846" s="1" cm="1">
        <f t="array" ref="J1846">SUMPRODUCT(([2]OUT_FinalEnergyCons!$B$4:$B$10000="var_cap")*1,ISNUMBER(SEARCH("RH*-WHELCHP",[2]OUT_FinalEnergyCons!$A$4:$A$10000))*1,[2]OUT_FinalEnergyCons!H$4:H$10000)</f>
        <v>0.82981596450149064</v>
      </c>
      <c r="K1846" s="1" cm="1">
        <f t="array" ref="K1846">SUMPRODUCT(([2]OUT_FinalEnergyCons!$B$4:$B$10000="var_cap")*1,ISNUMBER(SEARCH("RH*-WHELCHP",[2]OUT_FinalEnergyCons!$A$4:$A$10000))*1,[2]OUT_FinalEnergyCons!I$4:I$10000)</f>
        <v>1.048892623316884</v>
      </c>
      <c r="L1846" s="1" cm="1">
        <f t="array" ref="L1846">SUMPRODUCT(([2]OUT_FinalEnergyCons!$B$4:$B$10000="var_cap")*1,ISNUMBER(SEARCH("RH*-WHELCHP",[2]OUT_FinalEnergyCons!$A$4:$A$10000))*1,[2]OUT_FinalEnergyCons!J$4:J$10000)</f>
        <v>1.2447082707614534</v>
      </c>
      <c r="N1846" s="1"/>
    </row>
    <row r="1847" spans="2:14" x14ac:dyDescent="0.35">
      <c r="B1847" s="5" t="str">
        <f t="shared" ref="B1847:C1847" si="1939">B1846</f>
        <v>SPS1</v>
      </c>
      <c r="C1847" s="5" t="str">
        <f t="shared" si="1939"/>
        <v>CH</v>
      </c>
      <c r="D1847" t="s">
        <v>1883</v>
      </c>
      <c r="E1847" t="str">
        <f t="shared" si="1901"/>
        <v>GWth/yr.</v>
      </c>
      <c r="F1847" s="1">
        <f>F1848</f>
        <v>0.47738433216181703</v>
      </c>
      <c r="G1847" s="1">
        <f t="shared" ref="G1847" si="1940">G1848</f>
        <v>0.45664987800940071</v>
      </c>
      <c r="H1847" s="1">
        <f t="shared" ref="H1847" si="1941">H1848</f>
        <v>0.31381645604129649</v>
      </c>
      <c r="I1847" s="1">
        <f t="shared" ref="I1847" si="1942">I1848</f>
        <v>0.26559217311397654</v>
      </c>
      <c r="J1847" s="1">
        <f t="shared" ref="J1847" si="1943">J1848</f>
        <v>8.8505817199323086E-2</v>
      </c>
      <c r="K1847" s="1">
        <f t="shared" ref="K1847:L1847" si="1944">K1848</f>
        <v>4.0782364093808331E-2</v>
      </c>
      <c r="L1847" s="1">
        <f t="shared" si="1944"/>
        <v>2.8971456047960989E-3</v>
      </c>
      <c r="N1847" s="1"/>
    </row>
    <row r="1848" spans="2:14" x14ac:dyDescent="0.35">
      <c r="B1848" s="5" t="str">
        <f t="shared" ref="B1848:C1848" si="1945">B1847</f>
        <v>SPS1</v>
      </c>
      <c r="C1848" s="5" t="str">
        <f t="shared" si="1945"/>
        <v>CH</v>
      </c>
      <c r="D1848" t="s">
        <v>1884</v>
      </c>
      <c r="E1848" t="str">
        <f t="shared" si="1901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0.45664987800940071</v>
      </c>
      <c r="H1848" s="1" cm="1">
        <f t="array" ref="H1848">SUMPRODUCT(([1]OUT_FinalEnergyCons!$B$4:$B$10000="var_cap")*1, (ISNUMBER(SEARCH("RH*-WHLFOBR",[1]OUT_FinalEnergyCons!$A$4:$A$10000)))*1,[1]OUT_FinalEnergyCons!F$4:F$10000)</f>
        <v>0.31381645604129649</v>
      </c>
      <c r="I1848" s="1" cm="1">
        <f t="array" ref="I1848">SUMPRODUCT(([1]OUT_FinalEnergyCons!$B$4:$B$10000="var_cap")*1, (ISNUMBER(SEARCH("RH*-WHLFOBR",[1]OUT_FinalEnergyCons!$A$4:$A$10000)))*1,[1]OUT_FinalEnergyCons!G$4:G$10000)</f>
        <v>0.26559217311397654</v>
      </c>
      <c r="J1848" s="1" cm="1">
        <f t="array" ref="J1848">SUMPRODUCT(([2]OUT_FinalEnergyCons!$B$4:$B$10000="var_cap")*1, (ISNUMBER(SEARCH("RH*-WHLFOBR",[2]OUT_FinalEnergyCons!$A$4:$A$10000)))*1,[2]OUT_FinalEnergyCons!H$4:H$10000)</f>
        <v>8.8505817199323086E-2</v>
      </c>
      <c r="K1848" s="1" cm="1">
        <f t="array" ref="K1848">SUMPRODUCT(([2]OUT_FinalEnergyCons!$B$4:$B$10000="var_cap")*1, (ISNUMBER(SEARCH("RH*-WHLFOBR",[2]OUT_FinalEnergyCons!$A$4:$A$10000)))*1,[2]OUT_FinalEnergyCons!I$4:I$10000)</f>
        <v>4.0782364093808331E-2</v>
      </c>
      <c r="L1848" s="1" cm="1">
        <f t="array" ref="L1848">SUMPRODUCT(([2]OUT_FinalEnergyCons!$B$4:$B$10000="var_cap")*1, (ISNUMBER(SEARCH("RH*-WHLFOBR",[2]OUT_FinalEnergyCons!$A$4:$A$10000)))*1,[2]OUT_FinalEnergyCons!J$4:J$10000)</f>
        <v>2.8971456047960989E-3</v>
      </c>
      <c r="N1848" s="1"/>
    </row>
    <row r="1849" spans="2:14" x14ac:dyDescent="0.35">
      <c r="B1849" s="5" t="str">
        <f t="shared" ref="B1849:C1849" si="1946">B1848</f>
        <v>SPS1</v>
      </c>
      <c r="C1849" s="5" t="str">
        <f t="shared" si="1946"/>
        <v>CH</v>
      </c>
      <c r="D1849" t="s">
        <v>1885</v>
      </c>
      <c r="E1849" t="str">
        <f t="shared" si="1901"/>
        <v>GWth/yr.</v>
      </c>
      <c r="F1849" s="1">
        <f>SUM(F1850:F1851)</f>
        <v>0.43610075806793741</v>
      </c>
      <c r="G1849" s="1">
        <f t="shared" ref="G1849" si="1947">SUM(G1850:G1851)</f>
        <v>0.42633273128324595</v>
      </c>
      <c r="H1849" s="1">
        <f t="shared" ref="H1849" si="1948">SUM(H1850:H1851)</f>
        <v>0.43964144805900529</v>
      </c>
      <c r="I1849" s="1">
        <f t="shared" ref="I1849" si="1949">SUM(I1850:I1851)</f>
        <v>0.44365033351026179</v>
      </c>
      <c r="J1849" s="1">
        <f t="shared" ref="J1849" si="1950">SUM(J1850:J1851)</f>
        <v>0.31611185424332788</v>
      </c>
      <c r="K1849" s="1">
        <f t="shared" ref="K1849:L1849" si="1951">SUM(K1850:K1851)</f>
        <v>0.30555531186250029</v>
      </c>
      <c r="L1849" s="1">
        <f t="shared" si="1951"/>
        <v>0.29707700205209969</v>
      </c>
      <c r="N1849" s="1"/>
    </row>
    <row r="1850" spans="2:14" x14ac:dyDescent="0.35">
      <c r="B1850" s="5" t="str">
        <f t="shared" ref="B1850:C1850" si="1952">B1849</f>
        <v>SPS1</v>
      </c>
      <c r="C1850" s="5" t="str">
        <f t="shared" si="1952"/>
        <v>CH</v>
      </c>
      <c r="D1850" t="s">
        <v>1886</v>
      </c>
      <c r="E1850" t="str">
        <f t="shared" si="1901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0.42633251228863217</v>
      </c>
      <c r="H1850" s="1" cm="1">
        <f t="array" ref="H1850">SUMPRODUCT(([1]OUT_FinalEnergyCons!$B$4:$B$10000="var_cap")*1, (ISNUMBER(SEARCH("RH*-WHNGABR",[1]OUT_FinalEnergyCons!$A$4:$A$10000)))*1,[1]OUT_FinalEnergyCons!F$4:F$10000)</f>
        <v>0.38152204579884752</v>
      </c>
      <c r="I1850" s="1" cm="1">
        <f t="array" ref="I1850">SUMPRODUCT(([1]OUT_FinalEnergyCons!$B$4:$B$10000="var_cap")*1, (ISNUMBER(SEARCH("RH*-WHNGABR",[1]OUT_FinalEnergyCons!$A$4:$A$10000)))*1,[1]OUT_FinalEnergyCons!G$4:G$10000)</f>
        <v>0.32868147018264615</v>
      </c>
      <c r="J1850" s="1" cm="1">
        <f t="array" ref="J1850">SUMPRODUCT(([2]OUT_FinalEnergyCons!$B$4:$B$10000="var_cap")*1, (ISNUMBER(SEARCH("RH*-WHNGABR",[2]OUT_FinalEnergyCons!$A$4:$A$10000)))*1,[2]OUT_FinalEnergyCons!H$4:H$10000)</f>
        <v>0.1446309308158869</v>
      </c>
      <c r="K1850" s="1" cm="1">
        <f t="array" ref="K1850">SUMPRODUCT(([2]OUT_FinalEnergyCons!$B$4:$B$10000="var_cap")*1, (ISNUMBER(SEARCH("RH*-WHNGABR",[2]OUT_FinalEnergyCons!$A$4:$A$10000)))*1,[2]OUT_FinalEnergyCons!I$4:I$10000)</f>
        <v>7.7639114307036808E-2</v>
      </c>
      <c r="L1850" s="1" cm="1">
        <f t="array" ref="L1850">SUMPRODUCT(([2]OUT_FinalEnergyCons!$B$4:$B$10000="var_cap")*1, (ISNUMBER(SEARCH("RH*-WHNGABR",[2]OUT_FinalEnergyCons!$A$4:$A$10000)))*1,[2]OUT_FinalEnergyCons!J$4:J$10000)</f>
        <v>4.0600170792391463E-2</v>
      </c>
      <c r="N1850" s="1"/>
    </row>
    <row r="1851" spans="2:14" x14ac:dyDescent="0.35">
      <c r="B1851" s="5" t="str">
        <f t="shared" ref="B1851:C1851" si="1953">B1850</f>
        <v>SPS1</v>
      </c>
      <c r="C1851" s="5" t="str">
        <f t="shared" si="1953"/>
        <v>CH</v>
      </c>
      <c r="D1851" t="s">
        <v>1887</v>
      </c>
      <c r="E1851" t="str">
        <f t="shared" si="1901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2.1899461376230227E-7</v>
      </c>
      <c r="H1851" s="1" cm="1">
        <f t="array" ref="H1851">SUMPRODUCT(([1]OUT_FinalEnergyCons!$B$4:$B$10000="var_cap")*1,ISNUMBER(SEARCH("RH*-WHngahp",[1]OUT_FinalEnergyCons!$A$4:$A$10000))*1,[1]OUT_FinalEnergyCons!F$4:F$10000)</f>
        <v>5.8119402260157778E-2</v>
      </c>
      <c r="I1851" s="1" cm="1">
        <f t="array" ref="I1851">SUMPRODUCT(([1]OUT_FinalEnergyCons!$B$4:$B$10000="var_cap")*1,ISNUMBER(SEARCH("RH*-WHngahp",[1]OUT_FinalEnergyCons!$A$4:$A$10000))*1,[1]OUT_FinalEnergyCons!G$4:G$10000)</f>
        <v>0.11496886332761562</v>
      </c>
      <c r="J1851" s="1" cm="1">
        <f t="array" ref="J1851">SUMPRODUCT(([2]OUT_FinalEnergyCons!$B$4:$B$10000="var_cap")*1,ISNUMBER(SEARCH("RH*-WHngahp",[2]OUT_FinalEnergyCons!$A$4:$A$10000))*1,[2]OUT_FinalEnergyCons!H$4:H$10000)</f>
        <v>0.17148092342744095</v>
      </c>
      <c r="K1851" s="1" cm="1">
        <f t="array" ref="K1851">SUMPRODUCT(([2]OUT_FinalEnergyCons!$B$4:$B$10000="var_cap")*1,ISNUMBER(SEARCH("RH*-WHngahp",[2]OUT_FinalEnergyCons!$A$4:$A$10000))*1,[2]OUT_FinalEnergyCons!I$4:I$10000)</f>
        <v>0.2279161975554635</v>
      </c>
      <c r="L1851" s="1" cm="1">
        <f t="array" ref="L1851">SUMPRODUCT(([2]OUT_FinalEnergyCons!$B$4:$B$10000="var_cap")*1,ISNUMBER(SEARCH("RH*-WHngahp",[2]OUT_FinalEnergyCons!$A$4:$A$10000))*1,[2]OUT_FinalEnergyCons!J$4:J$10000)</f>
        <v>0.25647683125970822</v>
      </c>
      <c r="N1851" s="1"/>
    </row>
    <row r="1852" spans="2:14" x14ac:dyDescent="0.35">
      <c r="B1852" s="5" t="str">
        <f t="shared" ref="B1852:C1852" si="1954">B1851</f>
        <v>SPS1</v>
      </c>
      <c r="C1852" s="5" t="str">
        <f t="shared" si="1954"/>
        <v>CH</v>
      </c>
      <c r="D1852" t="s">
        <v>1888</v>
      </c>
      <c r="E1852" t="str">
        <f t="shared" si="1901"/>
        <v>GWth/yr.</v>
      </c>
      <c r="F1852" s="1">
        <f>F1853</f>
        <v>0</v>
      </c>
      <c r="G1852" s="1">
        <f t="shared" ref="G1852" si="1955">G1853</f>
        <v>0</v>
      </c>
      <c r="H1852" s="1">
        <f t="shared" ref="H1852" si="1956">H1853</f>
        <v>0</v>
      </c>
      <c r="I1852" s="1">
        <f t="shared" ref="I1852" si="1957">I1853</f>
        <v>0</v>
      </c>
      <c r="J1852" s="1">
        <f t="shared" ref="J1852" si="1958">J1853</f>
        <v>0</v>
      </c>
      <c r="K1852" s="1">
        <f t="shared" ref="K1852:L1852" si="1959">K1853</f>
        <v>0</v>
      </c>
      <c r="L1852" s="1">
        <f t="shared" si="1959"/>
        <v>0</v>
      </c>
      <c r="N1852" s="1"/>
    </row>
    <row r="1853" spans="2:14" x14ac:dyDescent="0.35">
      <c r="B1853" s="5" t="str">
        <f t="shared" ref="B1853:C1853" si="1960">B1852</f>
        <v>SPS1</v>
      </c>
      <c r="C1853" s="5" t="str">
        <f t="shared" si="1960"/>
        <v>CH</v>
      </c>
      <c r="D1853" t="s">
        <v>1889</v>
      </c>
      <c r="E1853" t="str">
        <f t="shared" si="1901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1">B1853</f>
        <v>SPS1</v>
      </c>
      <c r="C1854" s="5" t="str">
        <f t="shared" si="1961"/>
        <v>CH</v>
      </c>
      <c r="D1854" t="s">
        <v>1890</v>
      </c>
      <c r="E1854" t="str">
        <f t="shared" si="1901"/>
        <v>GWth/yr.</v>
      </c>
      <c r="F1854" s="1">
        <f>F1855</f>
        <v>3.5322010722483803E-2</v>
      </c>
      <c r="G1854" s="1">
        <f t="shared" ref="G1854" si="1962">G1855</f>
        <v>4.0447914262925495E-2</v>
      </c>
      <c r="H1854" s="1">
        <f t="shared" ref="H1854" si="1963">H1855</f>
        <v>8.4189417954724399E-2</v>
      </c>
      <c r="I1854" s="1">
        <f t="shared" ref="I1854" si="1964">I1855</f>
        <v>8.6862213635271371E-2</v>
      </c>
      <c r="J1854" s="1">
        <f t="shared" ref="J1854" si="1965">J1855</f>
        <v>8.1860454368013494E-2</v>
      </c>
      <c r="K1854" s="1">
        <f t="shared" ref="K1854:L1854" si="1966">K1855</f>
        <v>7.8449096831340812E-2</v>
      </c>
      <c r="L1854" s="1">
        <f t="shared" si="1966"/>
        <v>5.87105535086389E-2</v>
      </c>
      <c r="N1854" s="1"/>
    </row>
    <row r="1855" spans="2:14" x14ac:dyDescent="0.35">
      <c r="B1855" s="5" t="str">
        <f t="shared" ref="B1855:C1855" si="1967">B1854</f>
        <v>SPS1</v>
      </c>
      <c r="C1855" s="5" t="str">
        <f t="shared" si="1967"/>
        <v>CH</v>
      </c>
      <c r="D1855" t="s">
        <v>1891</v>
      </c>
      <c r="E1855" t="str">
        <f t="shared" si="1901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4.0447914262925495E-2</v>
      </c>
      <c r="H1855" s="1" cm="1">
        <f t="array" ref="H1855">SUMPRODUCT(([1]OUT_FinalEnergyCons!$B$4:$B$10000="var_cap")*1, (ISNUMBER(SEARCH("RH*-WHWODBR",[1]OUT_FinalEnergyCons!$A$4:$A$10000)))*1,[1]OUT_FinalEnergyCons!F$4:F$10000)</f>
        <v>8.4189417954724399E-2</v>
      </c>
      <c r="I1855" s="1" cm="1">
        <f t="array" ref="I1855">SUMPRODUCT(([1]OUT_FinalEnergyCons!$B$4:$B$10000="var_cap")*1, (ISNUMBER(SEARCH("RH*-WHWODBR",[1]OUT_FinalEnergyCons!$A$4:$A$10000)))*1,[1]OUT_FinalEnergyCons!G$4:G$10000)</f>
        <v>8.6862213635271371E-2</v>
      </c>
      <c r="J1855" s="1" cm="1">
        <f t="array" ref="J1855">SUMPRODUCT(([2]OUT_FinalEnergyCons!$B$4:$B$10000="var_cap")*1, (ISNUMBER(SEARCH("RH*-WHWODBR",[2]OUT_FinalEnergyCons!$A$4:$A$10000)))*1,[2]OUT_FinalEnergyCons!H$4:H$10000)</f>
        <v>8.1860454368013494E-2</v>
      </c>
      <c r="K1855" s="1" cm="1">
        <f t="array" ref="K1855">SUMPRODUCT(([2]OUT_FinalEnergyCons!$B$4:$B$10000="var_cap")*1, (ISNUMBER(SEARCH("RH*-WHWODBR",[2]OUT_FinalEnergyCons!$A$4:$A$10000)))*1,[2]OUT_FinalEnergyCons!I$4:I$10000)</f>
        <v>7.8449096831340812E-2</v>
      </c>
      <c r="L1855" s="1" cm="1">
        <f t="array" ref="L1855">SUMPRODUCT(([2]OUT_FinalEnergyCons!$B$4:$B$10000="var_cap")*1, (ISNUMBER(SEARCH("RH*-WHWODBR",[2]OUT_FinalEnergyCons!$A$4:$A$10000)))*1,[2]OUT_FinalEnergyCons!J$4:J$10000)</f>
        <v>5.87105535086389E-2</v>
      </c>
      <c r="N1855" s="1"/>
    </row>
    <row r="1856" spans="2:14" x14ac:dyDescent="0.35">
      <c r="B1856" s="5" t="str">
        <f t="shared" ref="B1856:C1856" si="1968">B1855</f>
        <v>SPS1</v>
      </c>
      <c r="C1856" s="5" t="str">
        <f t="shared" si="1968"/>
        <v>CH</v>
      </c>
      <c r="D1856" t="s">
        <v>1892</v>
      </c>
      <c r="E1856" t="str">
        <f t="shared" si="1901"/>
        <v>GWth/yr.</v>
      </c>
      <c r="F1856" s="1">
        <f>F1857</f>
        <v>1.12410901121583E-2</v>
      </c>
      <c r="G1856" s="1">
        <f t="shared" ref="G1856" si="1969">G1857</f>
        <v>1.319532527040727E-2</v>
      </c>
      <c r="H1856" s="1">
        <f t="shared" ref="H1856" si="1970">H1857</f>
        <v>1.3190923012013953E-2</v>
      </c>
      <c r="I1856" s="1">
        <f t="shared" ref="I1856" si="1971">I1857</f>
        <v>1.3190857897046339E-2</v>
      </c>
      <c r="J1856" s="1">
        <f t="shared" ref="J1856" si="1972">J1857</f>
        <v>1.2323871581303322E-2</v>
      </c>
      <c r="K1856" s="1">
        <f t="shared" ref="K1856:L1856" si="1973">K1857</f>
        <v>1.3969031661294038E-2</v>
      </c>
      <c r="L1856" s="1">
        <f t="shared" si="1973"/>
        <v>1.3635733001874092E-2</v>
      </c>
      <c r="N1856" s="1"/>
    </row>
    <row r="1857" spans="2:14" x14ac:dyDescent="0.35">
      <c r="B1857" s="5" t="str">
        <f t="shared" ref="B1857:C1857" si="1974">B1856</f>
        <v>SPS1</v>
      </c>
      <c r="C1857" s="5" t="str">
        <f t="shared" si="1974"/>
        <v>CH</v>
      </c>
      <c r="D1857" t="s">
        <v>1893</v>
      </c>
      <c r="E1857" t="str">
        <f t="shared" si="1901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1.319532527040727E-2</v>
      </c>
      <c r="H1857" s="1" cm="1">
        <f t="array" ref="H1857">SUMPRODUCT(([1]OUT_FinalEnergyCons!$B$4:$B$10000="var_cap")*1, (ISNUMBER(SEARCH("RH*-WHPLTBR",[1]OUT_FinalEnergyCons!$A$4:$A$10000)))*1,[1]OUT_FinalEnergyCons!F$4:F$10000)</f>
        <v>1.3190923012013953E-2</v>
      </c>
      <c r="I1857" s="1" cm="1">
        <f t="array" ref="I1857">SUMPRODUCT(([1]OUT_FinalEnergyCons!$B$4:$B$10000="var_cap")*1, (ISNUMBER(SEARCH("RH*-WHPLTBR",[1]OUT_FinalEnergyCons!$A$4:$A$10000)))*1,[1]OUT_FinalEnergyCons!G$4:G$10000)</f>
        <v>1.3190857897046339E-2</v>
      </c>
      <c r="J1857" s="1" cm="1">
        <f t="array" ref="J1857">SUMPRODUCT(([2]OUT_FinalEnergyCons!$B$4:$B$10000="var_cap")*1, (ISNUMBER(SEARCH("RH*-WHPLTBR",[2]OUT_FinalEnergyCons!$A$4:$A$10000)))*1,[2]OUT_FinalEnergyCons!H$4:H$10000)</f>
        <v>1.2323871581303322E-2</v>
      </c>
      <c r="K1857" s="1" cm="1">
        <f t="array" ref="K1857">SUMPRODUCT(([2]OUT_FinalEnergyCons!$B$4:$B$10000="var_cap")*1, (ISNUMBER(SEARCH("RH*-WHPLTBR",[2]OUT_FinalEnergyCons!$A$4:$A$10000)))*1,[2]OUT_FinalEnergyCons!I$4:I$10000)</f>
        <v>1.3969031661294038E-2</v>
      </c>
      <c r="L1857" s="1" cm="1">
        <f t="array" ref="L1857">SUMPRODUCT(([2]OUT_FinalEnergyCons!$B$4:$B$10000="var_cap")*1, (ISNUMBER(SEARCH("RH*-WHPLTBR",[2]OUT_FinalEnergyCons!$A$4:$A$10000)))*1,[2]OUT_FinalEnergyCons!J$4:J$10000)</f>
        <v>1.3635733001874092E-2</v>
      </c>
      <c r="N1857" s="1"/>
    </row>
    <row r="1858" spans="2:14" x14ac:dyDescent="0.35">
      <c r="B1858" s="5" t="str">
        <f t="shared" ref="B1858:C1858" si="1975">B1857</f>
        <v>SPS1</v>
      </c>
      <c r="C1858" s="5" t="str">
        <f t="shared" si="1975"/>
        <v>CH</v>
      </c>
      <c r="D1858" t="s">
        <v>1894</v>
      </c>
      <c r="E1858" t="str">
        <f t="shared" si="1901"/>
        <v>GWth/yr.</v>
      </c>
      <c r="F1858" s="1">
        <f>F1859</f>
        <v>0.25000991745774798</v>
      </c>
      <c r="G1858" s="1">
        <f t="shared" ref="G1858" si="1976">G1859</f>
        <v>0.33250828601267401</v>
      </c>
      <c r="H1858" s="1">
        <f t="shared" ref="H1858" si="1977">H1859</f>
        <v>0.33250673218945737</v>
      </c>
      <c r="I1858" s="1">
        <f t="shared" ref="I1858" si="1978">I1859</f>
        <v>0.33251053552514792</v>
      </c>
      <c r="J1858" s="1">
        <f t="shared" ref="J1858" si="1979">J1859</f>
        <v>0.35728935193216632</v>
      </c>
      <c r="K1858" s="1">
        <f t="shared" ref="K1858:L1858" si="1980">K1859</f>
        <v>0.43990251824973903</v>
      </c>
      <c r="L1858" s="1">
        <f t="shared" si="1980"/>
        <v>0.50527477176910029</v>
      </c>
      <c r="N1858" s="1"/>
    </row>
    <row r="1859" spans="2:14" x14ac:dyDescent="0.35">
      <c r="B1859" s="5" t="str">
        <f t="shared" ref="B1859:C1859" si="1981">B1858</f>
        <v>SPS1</v>
      </c>
      <c r="C1859" s="5" t="str">
        <f t="shared" si="1981"/>
        <v>CH</v>
      </c>
      <c r="D1859" t="s">
        <v>1895</v>
      </c>
      <c r="E1859" t="str">
        <f t="shared" si="1901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0.33250828601267401</v>
      </c>
      <c r="H1859" s="1" cm="1">
        <f t="array" ref="H1859">SUMPRODUCT(([1]OUT_FinalEnergyCons!$B$4:$B$10000="var_cap")*1, (ISNUMBER(SEARCH("RH*-WHSOLBR",[1]OUT_FinalEnergyCons!$A$4:$A$10000)))*1,[1]OUT_FinalEnergyCons!F$4:F$10000)</f>
        <v>0.33250673218945737</v>
      </c>
      <c r="I1859" s="1" cm="1">
        <f t="array" ref="I1859">SUMPRODUCT(([1]OUT_FinalEnergyCons!$B$4:$B$10000="var_cap")*1, (ISNUMBER(SEARCH("RH*-WHSOLBR",[1]OUT_FinalEnergyCons!$A$4:$A$10000)))*1,[1]OUT_FinalEnergyCons!G$4:G$10000)</f>
        <v>0.33251053552514792</v>
      </c>
      <c r="J1859" s="1" cm="1">
        <f t="array" ref="J1859">SUMPRODUCT(([2]OUT_FinalEnergyCons!$B$4:$B$10000="var_cap")*1, (ISNUMBER(SEARCH("RH*-WHSOLBR",[2]OUT_FinalEnergyCons!$A$4:$A$10000)))*1,[2]OUT_FinalEnergyCons!H$4:H$10000)</f>
        <v>0.35728935193216632</v>
      </c>
      <c r="K1859" s="1" cm="1">
        <f t="array" ref="K1859">SUMPRODUCT(([2]OUT_FinalEnergyCons!$B$4:$B$10000="var_cap")*1, (ISNUMBER(SEARCH("RH*-WHSOLBR",[2]OUT_FinalEnergyCons!$A$4:$A$10000)))*1,[2]OUT_FinalEnergyCons!I$4:I$10000)</f>
        <v>0.43990251824973903</v>
      </c>
      <c r="L1859" s="1" cm="1">
        <f t="array" ref="L1859">SUMPRODUCT(([2]OUT_FinalEnergyCons!$B$4:$B$10000="var_cap")*1, (ISNUMBER(SEARCH("RH*-WHSOLBR",[2]OUT_FinalEnergyCons!$A$4:$A$10000)))*1,[2]OUT_FinalEnergyCons!J$4:J$10000)</f>
        <v>0.50527477176910029</v>
      </c>
      <c r="N1859" s="1"/>
    </row>
    <row r="1860" spans="2:14" x14ac:dyDescent="0.35">
      <c r="B1860" s="5" t="str">
        <f t="shared" ref="B1860:C1860" si="1982">B1859</f>
        <v>SPS1</v>
      </c>
      <c r="C1860" s="5" t="str">
        <f t="shared" si="1982"/>
        <v>CH</v>
      </c>
      <c r="D1860" t="s">
        <v>1896</v>
      </c>
      <c r="E1860" t="str">
        <f t="shared" si="1901"/>
        <v>GWth/yr.</v>
      </c>
      <c r="F1860" s="1">
        <f>F1861</f>
        <v>0</v>
      </c>
      <c r="G1860" s="1">
        <f t="shared" ref="G1860" si="1983">G1861</f>
        <v>0</v>
      </c>
      <c r="H1860" s="1">
        <f t="shared" ref="H1860" si="1984">H1861</f>
        <v>0</v>
      </c>
      <c r="I1860" s="1">
        <f t="shared" ref="I1860" si="1985">I1861</f>
        <v>0</v>
      </c>
      <c r="J1860" s="1">
        <f t="shared" ref="J1860" si="1986">J1861</f>
        <v>0</v>
      </c>
      <c r="K1860" s="1">
        <f t="shared" ref="K1860:L1860" si="1987">K1861</f>
        <v>0</v>
      </c>
      <c r="L1860" s="1">
        <f t="shared" si="1987"/>
        <v>0</v>
      </c>
      <c r="N1860" s="1"/>
    </row>
    <row r="1861" spans="2:14" x14ac:dyDescent="0.35">
      <c r="B1861" s="5" t="str">
        <f t="shared" ref="B1861:C1865" si="1988">B1860</f>
        <v>SPS1</v>
      </c>
      <c r="C1861" s="5" t="str">
        <f t="shared" si="1988"/>
        <v>CH</v>
      </c>
      <c r="D1861" t="s">
        <v>1897</v>
      </c>
      <c r="E1861" t="str">
        <f t="shared" si="1901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8"/>
        <v>SPS1</v>
      </c>
      <c r="C1862" s="9" t="str">
        <f t="shared" si="1988"/>
        <v>CH</v>
      </c>
      <c r="D1862" s="2" t="s">
        <v>1899</v>
      </c>
      <c r="E1862" s="9" t="str">
        <f t="shared" si="1901"/>
        <v>GWth/yr.</v>
      </c>
      <c r="F1862" s="17">
        <f>SUM(F1863,F1866,F1869,F1873,F1875,F1877,F1879,F1881,F1883)</f>
        <v>3.6007731194993062</v>
      </c>
      <c r="G1862" s="17">
        <f t="shared" ref="G1862:K1862" si="1989">SUM(G1863,G1866,G1869,G1873,G1875,G1877,G1879,G1881,G1883)</f>
        <v>3.7789051715946256</v>
      </c>
      <c r="H1862" s="17">
        <f t="shared" si="1989"/>
        <v>3.6535294808670611</v>
      </c>
      <c r="I1862" s="17">
        <f t="shared" si="1989"/>
        <v>3.6878097742058475</v>
      </c>
      <c r="J1862" s="17">
        <f t="shared" si="1989"/>
        <v>3.4081235311195841</v>
      </c>
      <c r="K1862" s="17">
        <f t="shared" si="1989"/>
        <v>3.4676445736612309</v>
      </c>
      <c r="L1862" s="17">
        <f t="shared" ref="L1862" si="1990">SUM(L1863,L1866,L1869,L1873,L1875,L1877,L1879,L1881,L1883)</f>
        <v>3.6083082999661822</v>
      </c>
      <c r="N1862" s="1"/>
    </row>
    <row r="1863" spans="2:14" x14ac:dyDescent="0.35">
      <c r="B1863" s="5" t="str">
        <f>B1862</f>
        <v>SPS1</v>
      </c>
      <c r="C1863" s="5" t="str">
        <f t="shared" si="1988"/>
        <v>CH</v>
      </c>
      <c r="D1863" t="s">
        <v>2093</v>
      </c>
      <c r="E1863" t="str">
        <f t="shared" si="1901"/>
        <v>GWth/yr.</v>
      </c>
      <c r="F1863" s="18">
        <f>SUM(F1864:F1865)</f>
        <v>0.61671309762324311</v>
      </c>
      <c r="G1863" s="18">
        <f t="shared" ref="G1863:K1863" si="1991">SUM(G1864:G1865)</f>
        <v>0.83041291732566824</v>
      </c>
      <c r="H1863" s="18">
        <f t="shared" si="1991"/>
        <v>0.8322951026637162</v>
      </c>
      <c r="I1863" s="18">
        <f t="shared" si="1991"/>
        <v>1.1895383892001721</v>
      </c>
      <c r="J1863" s="18">
        <f t="shared" si="1991"/>
        <v>1.3604276618691817</v>
      </c>
      <c r="K1863" s="18">
        <f t="shared" si="1991"/>
        <v>1.4088339665708149</v>
      </c>
      <c r="L1863" s="18">
        <f t="shared" ref="L1863" si="1992">SUM(L1864:L1865)</f>
        <v>1.7045886402774597</v>
      </c>
      <c r="N1863" s="1"/>
    </row>
    <row r="1864" spans="2:14" x14ac:dyDescent="0.35">
      <c r="B1864" s="5" t="str">
        <f t="shared" ref="B1864:B1865" si="1993">B1863</f>
        <v>SPS1</v>
      </c>
      <c r="C1864" s="5" t="str">
        <f t="shared" si="1988"/>
        <v>CH</v>
      </c>
      <c r="D1864" t="s">
        <v>2094</v>
      </c>
      <c r="E1864" t="str">
        <f t="shared" si="1901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0.75403849742273332</v>
      </c>
      <c r="H1864" s="1" cm="1">
        <f t="array" ref="H1864">SUMPRODUCT(([1]OUT_FinalEnergyCons!$B$4:$B$10000="Var_cap")*1,  (ISNUMBER(SEARCH("ITOT-SWHELCBR",[1]OUT_FinalEnergyCons!$A$4:$A$10000)))*1,[1]OUT_FinalEnergyCons!F$4:F$10000)</f>
        <v>0.75432728468311117</v>
      </c>
      <c r="I1864" s="1" cm="1">
        <f t="array" ref="I1864">SUMPRODUCT(([1]OUT_FinalEnergyCons!$B$4:$B$10000="Var_cap")*1,  (ISNUMBER(SEARCH("ITOT-SWHELCBR",[1]OUT_FinalEnergyCons!$A$4:$A$10000)))*1,[1]OUT_FinalEnergyCons!G$4:G$10000)</f>
        <v>0.86703587371110824</v>
      </c>
      <c r="J1864" s="1" cm="1">
        <f t="array" ref="J1864">SUMPRODUCT(([2]OUT_FinalEnergyCons!$B$4:$B$10000="Var_cap")*1,  (ISNUMBER(SEARCH("ITOT-SWHELCBR",[2]OUT_FinalEnergyCons!$A$4:$A$10000)))*1,[2]OUT_FinalEnergyCons!H$4:H$10000)</f>
        <v>0.90480919190610642</v>
      </c>
      <c r="K1864" s="1" cm="1">
        <f t="array" ref="K1864">SUMPRODUCT(([2]OUT_FinalEnergyCons!$B$4:$B$10000="Var_cap")*1,  (ISNUMBER(SEARCH("ITOT-SWHELCBR",[2]OUT_FinalEnergyCons!$A$4:$A$10000)))*1,[2]OUT_FinalEnergyCons!I$4:I$10000)</f>
        <v>0.9409039981599876</v>
      </c>
      <c r="L1864" s="1" cm="1">
        <f t="array" ref="L1864">SUMPRODUCT(([2]OUT_FinalEnergyCons!$B$4:$B$10000="Var_cap")*1,  (ISNUMBER(SEARCH("ITOT-SWHELCBR",[2]OUT_FinalEnergyCons!$A$4:$A$10000)))*1,[2]OUT_FinalEnergyCons!J$4:J$10000)</f>
        <v>1.246807167001696</v>
      </c>
      <c r="N1864" s="1"/>
    </row>
    <row r="1865" spans="2:14" x14ac:dyDescent="0.35">
      <c r="B1865" s="5" t="str">
        <f t="shared" si="1993"/>
        <v>SPS1</v>
      </c>
      <c r="C1865" s="5" t="str">
        <f t="shared" si="1988"/>
        <v>CH</v>
      </c>
      <c r="D1865" t="s">
        <v>2095</v>
      </c>
      <c r="E1865" t="str">
        <f t="shared" si="1901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7.6374419902934976E-2</v>
      </c>
      <c r="H1865" s="1" cm="1">
        <f t="array" ref="H1865">SUMPRODUCT(([1]OUT_FinalEnergyCons!$B$4:$B$10000="Var_cap")*1,  (ISNUMBER(SEARCH("ITOT-SWHELCHP",[1]OUT_FinalEnergyCons!$A$4:$A$10000)))*1,[1]OUT_FinalEnergyCons!F$4:F$10000)</f>
        <v>7.7967817980605009E-2</v>
      </c>
      <c r="I1865" s="1" cm="1">
        <f t="array" ref="I1865">SUMPRODUCT(([1]OUT_FinalEnergyCons!$B$4:$B$10000="Var_cap")*1,  (ISNUMBER(SEARCH("ITOT-SWHELCHP",[1]OUT_FinalEnergyCons!$A$4:$A$10000)))*1,[1]OUT_FinalEnergyCons!G$4:G$10000)</f>
        <v>0.32250251548906378</v>
      </c>
      <c r="J1865" s="1" cm="1">
        <f t="array" ref="J1865">SUMPRODUCT(([2]OUT_FinalEnergyCons!$B$4:$B$10000="Var_cap")*1,  (ISNUMBER(SEARCH("ITOT-SWHELCHP",[2]OUT_FinalEnergyCons!$A$4:$A$10000)))*1,[2]OUT_FinalEnergyCons!H$4:H$10000)</f>
        <v>0.45561846996307542</v>
      </c>
      <c r="K1865" s="1" cm="1">
        <f t="array" ref="K1865">SUMPRODUCT(([2]OUT_FinalEnergyCons!$B$4:$B$10000="Var_cap")*1,  (ISNUMBER(SEARCH("ITOT-SWHELCHP",[2]OUT_FinalEnergyCons!$A$4:$A$10000)))*1,[2]OUT_FinalEnergyCons!I$4:I$10000)</f>
        <v>0.46792996841082746</v>
      </c>
      <c r="L1865" s="1" cm="1">
        <f t="array" ref="L1865">SUMPRODUCT(([2]OUT_FinalEnergyCons!$B$4:$B$10000="Var_cap")*1,  (ISNUMBER(SEARCH("ITOT-SWHELCHP",[2]OUT_FinalEnergyCons!$A$4:$A$10000)))*1,[2]OUT_FinalEnergyCons!J$4:J$10000)</f>
        <v>0.45778147327576357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1"/>
        <v>GWth/yr.</v>
      </c>
      <c r="F1866" s="18">
        <f>SUM(F1867:F1868)</f>
        <v>0.47769381354993656</v>
      </c>
      <c r="G1866" s="18">
        <f t="shared" ref="G1866:K1866" si="1994">SUM(G1867:G1868)</f>
        <v>0.4777852081453402</v>
      </c>
      <c r="H1866" s="18">
        <f t="shared" si="1994"/>
        <v>0.3767885363718454</v>
      </c>
      <c r="I1866" s="18">
        <f t="shared" si="1994"/>
        <v>0.3760519046760879</v>
      </c>
      <c r="J1866" s="18">
        <f t="shared" si="1994"/>
        <v>0.24220588086403377</v>
      </c>
      <c r="K1866" s="18">
        <f t="shared" si="1994"/>
        <v>0.22933551143247577</v>
      </c>
      <c r="L1866" s="18">
        <f t="shared" ref="L1866" si="1995">SUM(L1867:L1868)</f>
        <v>3.8261310334269799E-2</v>
      </c>
      <c r="N1866" s="1"/>
    </row>
    <row r="1867" spans="2:14" x14ac:dyDescent="0.35">
      <c r="B1867" s="5" t="str">
        <f t="shared" ref="B1867:B1884" si="1996">B1866</f>
        <v>SPS1</v>
      </c>
      <c r="C1867" s="5" t="str">
        <f t="shared" ref="C1867:C1884" si="1997">C1866</f>
        <v>CH</v>
      </c>
      <c r="D1867" t="s">
        <v>2097</v>
      </c>
      <c r="E1867" t="str">
        <f t="shared" si="1901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0.37652563281904633</v>
      </c>
      <c r="H1867" s="1" cm="1">
        <f t="array" ref="H1867">SUMPRODUCT(([1]OUT_FinalEnergyCons!$B$4:$B$10000="Var_cap")*1,  (ISNUMBER(SEARCH("ITOT-SWHLFOBR",[1]OUT_FinalEnergyCons!$A$4:$A$10000)))*1,[1]OUT_FinalEnergyCons!F$4:F$10000)</f>
        <v>0.37652654504220257</v>
      </c>
      <c r="I1867" s="1" cm="1">
        <f t="array" ref="I1867">SUMPRODUCT(([1]OUT_FinalEnergyCons!$B$4:$B$10000="Var_cap")*1,  (ISNUMBER(SEARCH("ITOT-SWHLFOBR",[1]OUT_FinalEnergyCons!$A$4:$A$10000)))*1,[1]OUT_FinalEnergyCons!G$4:G$10000)</f>
        <v>0.37600450113054229</v>
      </c>
      <c r="J1867" s="1" cm="1">
        <f t="array" ref="J1867">SUMPRODUCT(([2]OUT_FinalEnergyCons!$B$4:$B$10000="Var_cap")*1,  (ISNUMBER(SEARCH("ITOT-SWHLFOBR",[2]OUT_FinalEnergyCons!$A$4:$A$10000)))*1,[2]OUT_FinalEnergyCons!H$4:H$10000)</f>
        <v>0.24217019953370894</v>
      </c>
      <c r="K1867" s="1" cm="1">
        <f t="array" ref="K1867">SUMPRODUCT(([2]OUT_FinalEnergyCons!$B$4:$B$10000="Var_cap")*1,  (ISNUMBER(SEARCH("ITOT-SWHLFOBR",[2]OUT_FinalEnergyCons!$A$4:$A$10000)))*1,[2]OUT_FinalEnergyCons!I$4:I$10000)</f>
        <v>0.22918358127564228</v>
      </c>
      <c r="L1867" s="1" cm="1">
        <f t="array" ref="L1867">SUMPRODUCT(([2]OUT_FinalEnergyCons!$B$4:$B$10000="Var_cap")*1,  (ISNUMBER(SEARCH("ITOT-SWHLFOBR",[2]OUT_FinalEnergyCons!$A$4:$A$10000)))*1,[2]OUT_FinalEnergyCons!J$4:J$10000)</f>
        <v>3.8261310334269799E-2</v>
      </c>
      <c r="N1867" s="1"/>
    </row>
    <row r="1868" spans="2:14" x14ac:dyDescent="0.35">
      <c r="B1868" s="5" t="str">
        <f t="shared" si="1996"/>
        <v>SPS1</v>
      </c>
      <c r="C1868" s="5" t="str">
        <f t="shared" si="1997"/>
        <v>CH</v>
      </c>
      <c r="D1868" t="s">
        <v>2098</v>
      </c>
      <c r="E1868" t="str">
        <f t="shared" si="1901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0.10135837391910456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0.10125957532629384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2.6199132964281613E-4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4.7403545545596226E-5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3.568133032484308E-5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1.5193015683347621E-4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6"/>
        <v>SPS1</v>
      </c>
      <c r="C1869" s="5" t="str">
        <f t="shared" si="1997"/>
        <v>CH</v>
      </c>
      <c r="D1869" t="s">
        <v>2099</v>
      </c>
      <c r="E1869" t="str">
        <f t="shared" si="1901"/>
        <v>GWth/yr.</v>
      </c>
      <c r="F1869" s="18">
        <f>SUM(F1870:F1871)</f>
        <v>1.556581895256</v>
      </c>
      <c r="G1869" s="18">
        <f t="shared" ref="G1869:K1869" si="1998">SUM(G1870:G1871)</f>
        <v>1.5575594477451122</v>
      </c>
      <c r="H1869" s="18">
        <f t="shared" si="1998"/>
        <v>1.5575560674629743</v>
      </c>
      <c r="I1869" s="18">
        <f t="shared" si="1998"/>
        <v>1.2352795153344165</v>
      </c>
      <c r="J1869" s="18">
        <f t="shared" si="1998"/>
        <v>0.58956849317818172</v>
      </c>
      <c r="K1869" s="18">
        <f t="shared" si="1998"/>
        <v>0.34200147653174828</v>
      </c>
      <c r="L1869" s="18">
        <f t="shared" ref="L1869" si="1999">SUM(L1870:L1871)</f>
        <v>0.13129308555944677</v>
      </c>
      <c r="N1869" s="1"/>
    </row>
    <row r="1870" spans="2:14" x14ac:dyDescent="0.35">
      <c r="B1870" s="5" t="str">
        <f t="shared" si="1996"/>
        <v>SPS1</v>
      </c>
      <c r="C1870" s="5" t="str">
        <f t="shared" si="1997"/>
        <v>CH</v>
      </c>
      <c r="D1870" t="s">
        <v>2100</v>
      </c>
      <c r="E1870" t="str">
        <f t="shared" si="1901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1.5565881095748346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1.5565640983251243</v>
      </c>
      <c r="I1870" s="1" cm="1">
        <f t="array" ref="I1870">SUMPRODUCT(([1]OUT_FinalEnergyCons!$B$4:$B$10000="Var_cap")*1,  (ISNUMBER(SEARCH("ITOT-SWHNGA*BR",[1]OUT_FinalEnergyCons!$A$4:$A$10000)))*1,[1]OUT_FinalEnergyCons!G$4:G$10000)</f>
        <v>1.2343872791924231</v>
      </c>
      <c r="J1870" s="1" cm="1">
        <f t="array" ref="J1870">SUMPRODUCT(([2]OUT_FinalEnergyCons!$B$4:$B$10000="Var_cap")*1,  (ISNUMBER(SEARCH("ITOT-SWHNGA*BR",[2]OUT_FinalEnergyCons!$A$4:$A$10000)))*1,[2]OUT_FinalEnergyCons!H$4:H$10000)</f>
        <v>0.58936278782869045</v>
      </c>
      <c r="K1870" s="1" cm="1">
        <f t="array" ref="K1870">SUMPRODUCT(([2]OUT_FinalEnergyCons!$B$4:$B$10000="Var_cap")*1,  (ISNUMBER(SEARCH("ITOT-SWHNGA*BR",[2]OUT_FinalEnergyCons!$A$4:$A$10000)))*1,[2]OUT_FinalEnergyCons!I$4:I$10000)</f>
        <v>0.34183967062529297</v>
      </c>
      <c r="L1870" s="1" cm="1">
        <f t="array" ref="L1870">SUMPRODUCT(([2]OUT_FinalEnergyCons!$B$4:$B$10000="Var_cap")*1,  (ISNUMBER(SEARCH("ITOT-SWHNGA*BR",[2]OUT_FinalEnergyCons!$A$4:$A$10000)))*1,[2]OUT_FinalEnergyCons!J$4:J$10000)</f>
        <v>0.13113383677486759</v>
      </c>
      <c r="N1870" s="1"/>
    </row>
    <row r="1871" spans="2:14" x14ac:dyDescent="0.35">
      <c r="B1871" s="5" t="str">
        <f t="shared" si="1996"/>
        <v>SPS1</v>
      </c>
      <c r="C1871" s="5" t="str">
        <f t="shared" si="1997"/>
        <v>CH</v>
      </c>
      <c r="D1871" t="s">
        <v>2101</v>
      </c>
      <c r="E1871" t="str">
        <f t="shared" si="1901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9.7133817027765805E-4</v>
      </c>
      <c r="H1871" s="1" cm="1">
        <f t="array" ref="H1871">SUMPRODUCT(([1]OUT_FinalEnergyCons!$B$4:$B$10000="Var_cap")*1,  (ISNUMBER(SEARCH("ITOT-SWHNGAHP",[1]OUT_FinalEnergyCons!$A$4:$A$10000)))*1,[1]OUT_FinalEnergyCons!F$4:F$10000)</f>
        <v>9.9196913784992537E-4</v>
      </c>
      <c r="I1871" s="1" cm="1">
        <f t="array" ref="I1871">SUMPRODUCT(([1]OUT_FinalEnergyCons!$B$4:$B$10000="Var_cap")*1,  (ISNUMBER(SEARCH("ITOT-SWHNGAHP",[1]OUT_FinalEnergyCons!$A$4:$A$10000)))*1,[1]OUT_FinalEnergyCons!G$4:G$10000)</f>
        <v>8.9223614199333888E-4</v>
      </c>
      <c r="J1871" s="1" cm="1">
        <f t="array" ref="J1871">SUMPRODUCT(([2]OUT_FinalEnergyCons!$B$4:$B$10000="Var_cap")*1,  (ISNUMBER(SEARCH("ITOT-SWHNGAHP",[2]OUT_FinalEnergyCons!$A$4:$A$10000)))*1,[2]OUT_FinalEnergyCons!H$4:H$10000)</f>
        <v>2.057053494912523E-4</v>
      </c>
      <c r="K1871" s="1" cm="1">
        <f t="array" ref="K1871">SUMPRODUCT(([2]OUT_FinalEnergyCons!$B$4:$B$10000="Var_cap")*1,  (ISNUMBER(SEARCH("ITOT-SWHNGAHP",[2]OUT_FinalEnergyCons!$A$4:$A$10000)))*1,[2]OUT_FinalEnergyCons!I$4:I$10000)</f>
        <v>1.6180590645529258E-4</v>
      </c>
      <c r="L1871" s="1" cm="1">
        <f t="array" ref="L1871">SUMPRODUCT(([2]OUT_FinalEnergyCons!$B$4:$B$10000="Var_cap")*1,  (ISNUMBER(SEARCH("ITOT-SWHNGAHP",[2]OUT_FinalEnergyCons!$A$4:$A$10000)))*1,[2]OUT_FinalEnergyCons!J$4:J$10000)</f>
        <v>1.5924878457919024E-4</v>
      </c>
      <c r="N1871" s="1"/>
    </row>
    <row r="1872" spans="2:14" x14ac:dyDescent="0.35">
      <c r="B1872" s="5" t="str">
        <f t="shared" si="1996"/>
        <v>SPS1</v>
      </c>
      <c r="C1872" s="5" t="str">
        <f t="shared" si="1997"/>
        <v>CH</v>
      </c>
      <c r="D1872" t="s">
        <v>2102</v>
      </c>
      <c r="E1872" t="str">
        <f t="shared" si="1901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3.446631074317584E-2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0.17822816031929656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0.32791066917537348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0.43324623585041055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0.47601502152062258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0.54628127970226303</v>
      </c>
      <c r="N1872" s="1"/>
    </row>
    <row r="1873" spans="2:14" x14ac:dyDescent="0.35">
      <c r="B1873" s="5" t="str">
        <f t="shared" si="1996"/>
        <v>SPS1</v>
      </c>
      <c r="C1873" s="5" t="str">
        <f t="shared" si="1997"/>
        <v>CH</v>
      </c>
      <c r="D1873" t="s">
        <v>2103</v>
      </c>
      <c r="E1873" t="str">
        <f t="shared" si="1901"/>
        <v>GWth/yr.</v>
      </c>
      <c r="F1873" s="1">
        <f>F1874</f>
        <v>0.26172155007150499</v>
      </c>
      <c r="G1873" s="1">
        <f t="shared" ref="G1873:L1873" si="2000">G1874</f>
        <v>0.16193535068362203</v>
      </c>
      <c r="H1873" s="1">
        <f t="shared" si="2000"/>
        <v>1.8400449536127295E-3</v>
      </c>
      <c r="I1873" s="1">
        <f t="shared" si="2000"/>
        <v>3.7412282107351924E-5</v>
      </c>
      <c r="J1873" s="1">
        <f t="shared" si="2000"/>
        <v>1.6991947380362582E-5</v>
      </c>
      <c r="K1873" s="1">
        <f t="shared" si="2000"/>
        <v>2.5285972871410559E-2</v>
      </c>
      <c r="L1873" s="1">
        <f t="shared" si="2000"/>
        <v>1.9262499277201972E-5</v>
      </c>
      <c r="N1873" s="1"/>
    </row>
    <row r="1874" spans="2:14" x14ac:dyDescent="0.35">
      <c r="B1874" s="5" t="str">
        <f t="shared" si="1996"/>
        <v>SPS1</v>
      </c>
      <c r="C1874" s="5" t="str">
        <f t="shared" si="1997"/>
        <v>CH</v>
      </c>
      <c r="D1874" t="s">
        <v>2104</v>
      </c>
      <c r="E1874" t="str">
        <f t="shared" si="1901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0.16193535068362203</v>
      </c>
      <c r="H1874" s="1" cm="1">
        <f t="array" ref="H1874">SUMPRODUCT(([1]OUT_FinalEnergyCons!$B$4:$B$10000="Var_cap")*1,  (ISNUMBER(SEARCH("ITOT-SWHCOA*BR",[1]OUT_FinalEnergyCons!$A$4:$A$10000)))*1,[1]OUT_FinalEnergyCons!F$4:F$10000)</f>
        <v>1.8400449536127295E-3</v>
      </c>
      <c r="I1874" s="1" cm="1">
        <f t="array" ref="I1874">SUMPRODUCT(([1]OUT_FinalEnergyCons!$B$4:$B$10000="Var_cap")*1,  (ISNUMBER(SEARCH("ITOT-SWHCOA*BR",[1]OUT_FinalEnergyCons!$A$4:$A$10000)))*1,[1]OUT_FinalEnergyCons!G$4:G$10000)</f>
        <v>3.7412282107351924E-5</v>
      </c>
      <c r="J1874" s="1" cm="1">
        <f t="array" ref="J1874">SUMPRODUCT(([2]OUT_FinalEnergyCons!$B$4:$B$10000="Var_cap")*1,  (ISNUMBER(SEARCH("ITOT-SWHCOA*BR",[2]OUT_FinalEnergyCons!$A$4:$A$10000)))*1,[2]OUT_FinalEnergyCons!H$4:H$10000)</f>
        <v>1.6991947380362582E-5</v>
      </c>
      <c r="K1874" s="1" cm="1">
        <f t="array" ref="K1874">SUMPRODUCT(([2]OUT_FinalEnergyCons!$B$4:$B$10000="Var_cap")*1,  (ISNUMBER(SEARCH("ITOT-SWHCOA*BR",[2]OUT_FinalEnergyCons!$A$4:$A$10000)))*1,[2]OUT_FinalEnergyCons!I$4:I$10000)</f>
        <v>2.5285972871410559E-2</v>
      </c>
      <c r="L1874" s="1" cm="1">
        <f t="array" ref="L1874">SUMPRODUCT(([2]OUT_FinalEnergyCons!$B$4:$B$10000="Var_cap")*1,  (ISNUMBER(SEARCH("ITOT-SWHCOA*BR",[2]OUT_FinalEnergyCons!$A$4:$A$10000)))*1,[2]OUT_FinalEnergyCons!J$4:J$10000)</f>
        <v>1.9262499277201972E-5</v>
      </c>
      <c r="N1874" s="1"/>
    </row>
    <row r="1875" spans="2:14" x14ac:dyDescent="0.35">
      <c r="B1875" s="5" t="str">
        <f t="shared" si="1996"/>
        <v>SPS1</v>
      </c>
      <c r="C1875" s="5" t="str">
        <f t="shared" si="1997"/>
        <v>CH</v>
      </c>
      <c r="D1875" t="s">
        <v>2105</v>
      </c>
      <c r="E1875" t="str">
        <f t="shared" si="1901"/>
        <v>GWth/yr.</v>
      </c>
      <c r="F1875" s="1">
        <f>F1876</f>
        <v>0.28883369534761499</v>
      </c>
      <c r="G1875" s="1">
        <f t="shared" ref="G1875:L1875" si="2001">G1876</f>
        <v>0.34113821555474549</v>
      </c>
      <c r="H1875" s="1">
        <f t="shared" si="2001"/>
        <v>0.34034076025461885</v>
      </c>
      <c r="I1875" s="1">
        <f t="shared" si="2001"/>
        <v>0.3401170754384073</v>
      </c>
      <c r="J1875" s="1">
        <f t="shared" si="2001"/>
        <v>0.20959850140023367</v>
      </c>
      <c r="K1875" s="1">
        <f t="shared" si="2001"/>
        <v>0.28338598291728068</v>
      </c>
      <c r="L1875" s="1">
        <f t="shared" si="2001"/>
        <v>0.2847234669262414</v>
      </c>
      <c r="N1875" s="1"/>
    </row>
    <row r="1876" spans="2:14" x14ac:dyDescent="0.35">
      <c r="B1876" s="5" t="str">
        <f t="shared" si="1996"/>
        <v>SPS1</v>
      </c>
      <c r="C1876" s="5" t="str">
        <f t="shared" si="1997"/>
        <v>CH</v>
      </c>
      <c r="D1876" t="s">
        <v>2106</v>
      </c>
      <c r="E1876" t="str">
        <f t="shared" si="1901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0.34113821555474549</v>
      </c>
      <c r="H1876" s="1" cm="1">
        <f t="array" ref="H1876">SUMPRODUCT(([1]OUT_FinalEnergyCons!$B$4:$B$10000="Var_cap")*1,  (ISNUMBER(SEARCH("ITOT-SWHWOD*BR",[1]OUT_FinalEnergyCons!$A$4:$A$10000)))*1,[1]OUT_FinalEnergyCons!F$4:F$10000)</f>
        <v>0.34034076025461885</v>
      </c>
      <c r="I1876" s="1" cm="1">
        <f t="array" ref="I1876">SUMPRODUCT(([1]OUT_FinalEnergyCons!$B$4:$B$10000="Var_cap")*1,  (ISNUMBER(SEARCH("ITOT-SWHWOD*BR",[1]OUT_FinalEnergyCons!$A$4:$A$10000)))*1,[1]OUT_FinalEnergyCons!G$4:G$10000)</f>
        <v>0.3401170754384073</v>
      </c>
      <c r="J1876" s="1" cm="1">
        <f t="array" ref="J1876">SUMPRODUCT(([2]OUT_FinalEnergyCons!$B$4:$B$10000="Var_cap")*1,  (ISNUMBER(SEARCH("ITOT-SWHWOD*BR",[2]OUT_FinalEnergyCons!$A$4:$A$10000)))*1,[2]OUT_FinalEnergyCons!H$4:H$10000)</f>
        <v>0.20959850140023367</v>
      </c>
      <c r="K1876" s="1" cm="1">
        <f t="array" ref="K1876">SUMPRODUCT(([2]OUT_FinalEnergyCons!$B$4:$B$10000="Var_cap")*1,  (ISNUMBER(SEARCH("ITOT-SWHWOD*BR",[2]OUT_FinalEnergyCons!$A$4:$A$10000)))*1,[2]OUT_FinalEnergyCons!I$4:I$10000)</f>
        <v>0.28338598291728068</v>
      </c>
      <c r="L1876" s="1" cm="1">
        <f t="array" ref="L1876">SUMPRODUCT(([2]OUT_FinalEnergyCons!$B$4:$B$10000="Var_cap")*1,  (ISNUMBER(SEARCH("ITOT-SWHWOD*BR",[2]OUT_FinalEnergyCons!$A$4:$A$10000)))*1,[2]OUT_FinalEnergyCons!J$4:J$10000)</f>
        <v>0.2847234669262414</v>
      </c>
      <c r="N1876" s="1"/>
    </row>
    <row r="1877" spans="2:14" x14ac:dyDescent="0.35">
      <c r="B1877" s="5" t="str">
        <f t="shared" si="1996"/>
        <v>SPS1</v>
      </c>
      <c r="C1877" s="5" t="str">
        <f t="shared" si="1997"/>
        <v>CH</v>
      </c>
      <c r="D1877" t="s">
        <v>2107</v>
      </c>
      <c r="E1877" t="str">
        <f t="shared" si="1901"/>
        <v>GWth/yr.</v>
      </c>
      <c r="F1877" s="1">
        <f>F1878</f>
        <v>2.9860759506449799E-2</v>
      </c>
      <c r="G1877" s="1">
        <f t="shared" ref="G1877:L1877" si="2002">G1878</f>
        <v>3.7954371458900404E-2</v>
      </c>
      <c r="H1877" s="1">
        <f t="shared" si="2002"/>
        <v>0.17260321177797844</v>
      </c>
      <c r="I1877" s="1">
        <f t="shared" si="2002"/>
        <v>0.17313806013668484</v>
      </c>
      <c r="J1877" s="1">
        <f t="shared" si="2002"/>
        <v>0.21544323648007946</v>
      </c>
      <c r="K1877" s="1">
        <f t="shared" si="2002"/>
        <v>0.21253687374835964</v>
      </c>
      <c r="L1877" s="1">
        <f t="shared" si="2002"/>
        <v>0.20879610972606019</v>
      </c>
      <c r="N1877" s="1"/>
    </row>
    <row r="1878" spans="2:14" x14ac:dyDescent="0.35">
      <c r="B1878" s="5" t="str">
        <f t="shared" si="1996"/>
        <v>SPS1</v>
      </c>
      <c r="C1878" s="5" t="str">
        <f t="shared" si="1997"/>
        <v>CH</v>
      </c>
      <c r="D1878" t="s">
        <v>2108</v>
      </c>
      <c r="E1878" t="str">
        <f t="shared" si="1901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3.7954371458900404E-2</v>
      </c>
      <c r="H1878" s="1" cm="1">
        <f t="array" ref="H1878">SUMPRODUCT(([1]OUT_FinalEnergyCons!$B$4:$B$10000="Var_cap")*1,  (ISNUMBER(SEARCH("ITOT-SWHPLT*BR",[1]OUT_FinalEnergyCons!$A$4:$A$10000)))*1,[1]OUT_FinalEnergyCons!F$4:F$10000)</f>
        <v>0.17260321177797844</v>
      </c>
      <c r="I1878" s="1" cm="1">
        <f t="array" ref="I1878">SUMPRODUCT(([1]OUT_FinalEnergyCons!$B$4:$B$10000="Var_cap")*1,  (ISNUMBER(SEARCH("ITOT-SWHPLT*BR",[1]OUT_FinalEnergyCons!$A$4:$A$10000)))*1,[1]OUT_FinalEnergyCons!G$4:G$10000)</f>
        <v>0.17313806013668484</v>
      </c>
      <c r="J1878" s="1" cm="1">
        <f t="array" ref="J1878">SUMPRODUCT(([2]OUT_FinalEnergyCons!$B$4:$B$10000="Var_cap")*1,  (ISNUMBER(SEARCH("ITOT-SWHPLT*BR",[2]OUT_FinalEnergyCons!$A$4:$A$10000)))*1,[2]OUT_FinalEnergyCons!H$4:H$10000)</f>
        <v>0.21544323648007946</v>
      </c>
      <c r="K1878" s="1" cm="1">
        <f t="array" ref="K1878">SUMPRODUCT(([2]OUT_FinalEnergyCons!$B$4:$B$10000="Var_cap")*1,  (ISNUMBER(SEARCH("ITOT-SWHPLT*BR",[2]OUT_FinalEnergyCons!$A$4:$A$10000)))*1,[2]OUT_FinalEnergyCons!I$4:I$10000)</f>
        <v>0.21253687374835964</v>
      </c>
      <c r="L1878" s="1" cm="1">
        <f t="array" ref="L1878">SUMPRODUCT(([2]OUT_FinalEnergyCons!$B$4:$B$10000="Var_cap")*1,  (ISNUMBER(SEARCH("ITOT-SWHPLT*BR",[2]OUT_FinalEnergyCons!$A$4:$A$10000)))*1,[2]OUT_FinalEnergyCons!J$4:J$10000)</f>
        <v>0.20879610972606019</v>
      </c>
      <c r="N1878" s="1"/>
    </row>
    <row r="1879" spans="2:14" x14ac:dyDescent="0.35">
      <c r="B1879" s="5" t="str">
        <f t="shared" si="1996"/>
        <v>SPS1</v>
      </c>
      <c r="C1879" s="5" t="str">
        <f t="shared" si="1997"/>
        <v>CH</v>
      </c>
      <c r="D1879" t="s">
        <v>2109</v>
      </c>
      <c r="E1879" t="str">
        <f t="shared" si="1901"/>
        <v>GWth/yr.</v>
      </c>
      <c r="F1879" s="1">
        <f>F1880</f>
        <v>0.35954682816669398</v>
      </c>
      <c r="G1879" s="1">
        <f t="shared" ref="G1879:L1879" si="2003">G1880</f>
        <v>0.35952879897208406</v>
      </c>
      <c r="H1879" s="1">
        <f t="shared" si="2003"/>
        <v>0.35951477695129197</v>
      </c>
      <c r="I1879" s="1">
        <f t="shared" si="2003"/>
        <v>0.35946702521637769</v>
      </c>
      <c r="J1879" s="1">
        <f t="shared" si="2003"/>
        <v>0.32977877919137483</v>
      </c>
      <c r="K1879" s="1">
        <f t="shared" si="2003"/>
        <v>0.33602752213534892</v>
      </c>
      <c r="L1879" s="1">
        <f t="shared" si="2003"/>
        <v>0.18547221810437822</v>
      </c>
      <c r="N1879" s="1"/>
    </row>
    <row r="1880" spans="2:14" x14ac:dyDescent="0.35">
      <c r="B1880" s="5" t="str">
        <f t="shared" si="1996"/>
        <v>SPS1</v>
      </c>
      <c r="C1880" s="5" t="str">
        <f t="shared" si="1997"/>
        <v>CH</v>
      </c>
      <c r="D1880" t="s">
        <v>2110</v>
      </c>
      <c r="E1880" t="str">
        <f t="shared" si="1901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0.35952879897208406</v>
      </c>
      <c r="H1880" s="1" cm="1">
        <f t="array" ref="H1880">SUMPRODUCT(([1]OUT_FinalEnergyCons!$B$4:$B$10000="Var_cap")*1,  (ISNUMBER(SEARCH("ITOT-SWHWST*BR",[1]OUT_FinalEnergyCons!$A$4:$A$10000)))*1,[1]OUT_FinalEnergyCons!F$4:F$10000)</f>
        <v>0.35951477695129197</v>
      </c>
      <c r="I1880" s="1" cm="1">
        <f t="array" ref="I1880">SUMPRODUCT(([1]OUT_FinalEnergyCons!$B$4:$B$10000="Var_cap")*1,  (ISNUMBER(SEARCH("ITOT-SWHWST*BR",[1]OUT_FinalEnergyCons!$A$4:$A$10000)))*1,[1]OUT_FinalEnergyCons!G$4:G$10000)</f>
        <v>0.35946702521637769</v>
      </c>
      <c r="J1880" s="1" cm="1">
        <f t="array" ref="J1880">SUMPRODUCT(([2]OUT_FinalEnergyCons!$B$4:$B$10000="Var_cap")*1,  (ISNUMBER(SEARCH("ITOT-SWHWST*BR",[2]OUT_FinalEnergyCons!$A$4:$A$10000)))*1,[2]OUT_FinalEnergyCons!H$4:H$10000)</f>
        <v>0.32977877919137483</v>
      </c>
      <c r="K1880" s="1" cm="1">
        <f t="array" ref="K1880">SUMPRODUCT(([2]OUT_FinalEnergyCons!$B$4:$B$10000="Var_cap")*1,  (ISNUMBER(SEARCH("ITOT-SWHWST*BR",[2]OUT_FinalEnergyCons!$A$4:$A$10000)))*1,[2]OUT_FinalEnergyCons!I$4:I$10000)</f>
        <v>0.33602752213534892</v>
      </c>
      <c r="L1880" s="1" cm="1">
        <f t="array" ref="L1880">SUMPRODUCT(([2]OUT_FinalEnergyCons!$B$4:$B$10000="Var_cap")*1,  (ISNUMBER(SEARCH("ITOT-SWHWST*BR",[2]OUT_FinalEnergyCons!$A$4:$A$10000)))*1,[2]OUT_FinalEnergyCons!J$4:J$10000)</f>
        <v>0.18547221810437822</v>
      </c>
      <c r="N1880" s="1"/>
    </row>
    <row r="1881" spans="2:14" x14ac:dyDescent="0.35">
      <c r="B1881" s="5" t="str">
        <f t="shared" si="1996"/>
        <v>SPS1</v>
      </c>
      <c r="C1881" s="5" t="str">
        <f t="shared" si="1997"/>
        <v>CH</v>
      </c>
      <c r="D1881" t="s">
        <v>2111</v>
      </c>
      <c r="E1881" t="str">
        <f t="shared" si="1901"/>
        <v>GWth/yr.</v>
      </c>
      <c r="F1881" s="1">
        <f>F1882</f>
        <v>9.8214799778629808E-3</v>
      </c>
      <c r="G1881" s="1">
        <f t="shared" ref="G1881:L1881" si="2004">G1882</f>
        <v>1.25908617091527E-2</v>
      </c>
      <c r="H1881" s="1">
        <f t="shared" si="2004"/>
        <v>1.2590980431023371E-2</v>
      </c>
      <c r="I1881" s="1">
        <f t="shared" si="2004"/>
        <v>1.2591085377030981E-2</v>
      </c>
      <c r="J1881" s="1">
        <f t="shared" si="2004"/>
        <v>1.250190301643417E-2</v>
      </c>
      <c r="K1881" s="1">
        <f t="shared" si="2004"/>
        <v>1.2501140462610799E-2</v>
      </c>
      <c r="L1881" s="1">
        <f t="shared" si="2004"/>
        <v>1.2500204836779299E-2</v>
      </c>
      <c r="N1881" s="1"/>
    </row>
    <row r="1882" spans="2:14" x14ac:dyDescent="0.35">
      <c r="B1882" s="5" t="str">
        <f t="shared" si="1996"/>
        <v>SPS1</v>
      </c>
      <c r="C1882" s="5" t="str">
        <f t="shared" si="1997"/>
        <v>CH</v>
      </c>
      <c r="D1882" t="s">
        <v>2112</v>
      </c>
      <c r="E1882" t="str">
        <f t="shared" si="1901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1.25908617091527E-2</v>
      </c>
      <c r="H1882" s="1" cm="1">
        <f t="array" ref="H1882">SUMPRODUCT(([1]OUT_FinalEnergyCons!$B$4:$B$10000="Var_cap")*1, (ISNUMBER(SEARCH("ITOT-SWHSOLBR",[1]OUT_FinalEnergyCons!$A$4:$A$10000)))*1,[1]OUT_FinalEnergyCons!F$4:F$10000)</f>
        <v>1.2590980431023371E-2</v>
      </c>
      <c r="I1882" s="1" cm="1">
        <f t="array" ref="I1882">SUMPRODUCT(([1]OUT_FinalEnergyCons!$B$4:$B$10000="Var_cap")*1, (ISNUMBER(SEARCH("ITOT-SWHSOLBR",[1]OUT_FinalEnergyCons!$A$4:$A$10000)))*1,[1]OUT_FinalEnergyCons!G$4:G$10000)</f>
        <v>1.2591085377030981E-2</v>
      </c>
      <c r="J1882" s="1" cm="1">
        <f t="array" ref="J1882">SUMPRODUCT(([2]OUT_FinalEnergyCons!$B$4:$B$10000="Var_cap")*1, (ISNUMBER(SEARCH("ITOT-SWHSOLBR",[2]OUT_FinalEnergyCons!$A$4:$A$10000)))*1,[2]OUT_FinalEnergyCons!H$4:H$10000)</f>
        <v>1.250190301643417E-2</v>
      </c>
      <c r="K1882" s="1" cm="1">
        <f t="array" ref="K1882">SUMPRODUCT(([2]OUT_FinalEnergyCons!$B$4:$B$10000="Var_cap")*1, (ISNUMBER(SEARCH("ITOT-SWHSOLBR",[2]OUT_FinalEnergyCons!$A$4:$A$10000)))*1,[2]OUT_FinalEnergyCons!I$4:I$10000)</f>
        <v>1.2501140462610799E-2</v>
      </c>
      <c r="L1882" s="1" cm="1">
        <f t="array" ref="L1882">SUMPRODUCT(([2]OUT_FinalEnergyCons!$B$4:$B$10000="Var_cap")*1, (ISNUMBER(SEARCH("ITOT-SWHSOLBR",[2]OUT_FinalEnergyCons!$A$4:$A$10000)))*1,[2]OUT_FinalEnergyCons!J$4:J$10000)</f>
        <v>1.2500204836779299E-2</v>
      </c>
      <c r="N1882" s="1"/>
    </row>
    <row r="1883" spans="2:14" x14ac:dyDescent="0.35">
      <c r="B1883" s="5" t="str">
        <f t="shared" si="1996"/>
        <v>SPS1</v>
      </c>
      <c r="C1883" s="5" t="str">
        <f t="shared" si="1997"/>
        <v>CH</v>
      </c>
      <c r="D1883" t="s">
        <v>2113</v>
      </c>
      <c r="E1883" t="str">
        <f t="shared" si="1901"/>
        <v>GWth/yr.</v>
      </c>
      <c r="F1883" s="1">
        <f>F1884</f>
        <v>0</v>
      </c>
      <c r="G1883" s="1">
        <f t="shared" ref="G1883:L1883" si="2005">G1884</f>
        <v>0</v>
      </c>
      <c r="H1883" s="1">
        <f t="shared" si="2005"/>
        <v>0</v>
      </c>
      <c r="I1883" s="1">
        <f t="shared" si="2005"/>
        <v>1.5893065445628501E-3</v>
      </c>
      <c r="J1883" s="1">
        <f t="shared" si="2005"/>
        <v>0.4485820831726845</v>
      </c>
      <c r="K1883" s="1">
        <f t="shared" si="2005"/>
        <v>0.61773612699118174</v>
      </c>
      <c r="L1883" s="1">
        <f t="shared" si="2005"/>
        <v>1.0426540017022696</v>
      </c>
      <c r="N1883" s="1"/>
    </row>
    <row r="1884" spans="2:14" x14ac:dyDescent="0.35">
      <c r="B1884" s="5" t="str">
        <f t="shared" si="1996"/>
        <v>SPS1</v>
      </c>
      <c r="C1884" s="5" t="str">
        <f t="shared" si="1997"/>
        <v>CH</v>
      </c>
      <c r="D1884" t="s">
        <v>2114</v>
      </c>
      <c r="E1884" t="str">
        <f t="shared" si="1901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1.5893065445628501E-3</v>
      </c>
      <c r="J1884" s="1" cm="1">
        <f t="array" ref="J1884">SUMPRODUCT(([2]OUT_FinalEnergyCons!$B$4:$B$10000="Var_cap")*1, (ISNUMBER(SEARCH("ITOT-SWHH2BR",[2]OUT_FinalEnergyCons!$A$4:$A$10000)))*1,[2]OUT_FinalEnergyCons!H$4:H$10000)</f>
        <v>0.4485820831726845</v>
      </c>
      <c r="K1884" s="1" cm="1">
        <f t="array" ref="K1884">SUMPRODUCT(([2]OUT_FinalEnergyCons!$B$4:$B$10000="Var_cap")*1, (ISNUMBER(SEARCH("ITOT-SWHH2BR",[2]OUT_FinalEnergyCons!$A$4:$A$10000)))*1,[2]OUT_FinalEnergyCons!I$4:I$10000)</f>
        <v>0.61773612699118174</v>
      </c>
      <c r="L1884" s="1" cm="1">
        <f t="array" ref="L1884">SUMPRODUCT(([2]OUT_FinalEnergyCons!$B$4:$B$10000="Var_cap")*1, (ISNUMBER(SEARCH("ITOT-SWHH2BR",[2]OUT_FinalEnergyCons!$A$4:$A$10000)))*1,[2]OUT_FinalEnergyCons!J$4:J$10000)</f>
        <v>1.0426540017022696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1"/>
        <v>GWth/yr.</v>
      </c>
      <c r="F1885" s="17">
        <f>SUM(F1886,F1889,F1891,F1895,F1897,F1899,F1901)</f>
        <v>6.1442339507578501</v>
      </c>
      <c r="G1885" s="17">
        <f t="shared" ref="G1885:K1885" si="2006">SUM(G1886,G1889,G1891,G1895,G1897,G1899,G1901)</f>
        <v>6.0482227778321089</v>
      </c>
      <c r="H1885" s="17">
        <f t="shared" si="2006"/>
        <v>5.2403780579536869</v>
      </c>
      <c r="I1885" s="17">
        <f t="shared" si="2006"/>
        <v>5.9817969481394266</v>
      </c>
      <c r="J1885" s="17">
        <f t="shared" si="2006"/>
        <v>4.9693226115374154</v>
      </c>
      <c r="K1885" s="17">
        <f t="shared" si="2006"/>
        <v>5.0470291798764322</v>
      </c>
      <c r="L1885" s="17">
        <f t="shared" ref="L1885" si="2007">SUM(L1886,L1889,L1891,L1895,L1897,L1899,L1901)</f>
        <v>4.6846141233950247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1"/>
        <v>GWth/yr.</v>
      </c>
      <c r="F1886" s="1">
        <f>SUM(F1887:F1888)</f>
        <v>0.6156074953534556</v>
      </c>
      <c r="G1886" s="1">
        <f t="shared" ref="G1886:K1886" si="2008">SUM(G1887:G1888)</f>
        <v>0.50395469680722771</v>
      </c>
      <c r="H1886" s="1">
        <f t="shared" si="2008"/>
        <v>0.50115752948312398</v>
      </c>
      <c r="I1886" s="1">
        <f t="shared" si="2008"/>
        <v>1.1375121005124704</v>
      </c>
      <c r="J1886" s="1">
        <f t="shared" si="2008"/>
        <v>1.5120154842314573</v>
      </c>
      <c r="K1886" s="1">
        <f t="shared" si="2008"/>
        <v>1.9786827148578301</v>
      </c>
      <c r="L1886" s="1">
        <f t="shared" ref="L1886" si="2009">SUM(L1887:L1888)</f>
        <v>2.1391025370157095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1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0.18499001588779168</v>
      </c>
      <c r="G1887" s="1" cm="1">
        <f t="array" ref="G1887">SUMPRODUCT(([1]OUT_FinalEnergyCons!$B$4:$B$10000="Var_cap")*1, (ISNUMBER(SEARCH("SCOM-SHELCBR",[1]OUT_FinalEnergyCons!$A$4:$A$10000)))*1,[1]OUT_FinalEnergyCons!E$4:E$10000)</f>
        <v>7.3338062220646899E-2</v>
      </c>
      <c r="H1887" s="1" cm="1">
        <f t="array" ref="H1887">SUMPRODUCT(([1]OUT_FinalEnergyCons!$B$4:$B$10000="Var_cap")*1, (ISNUMBER(SEARCH("SCOM-SHELCBR",[1]OUT_FinalEnergyCons!$A$4:$A$10000)))*1,[1]OUT_FinalEnergyCons!F$4:F$10000)</f>
        <v>7.0539910493375421E-2</v>
      </c>
      <c r="I1887" s="1" cm="1">
        <f t="array" ref="I1887">SUMPRODUCT(([1]OUT_FinalEnergyCons!$B$4:$B$10000="Var_cap")*1, (ISNUMBER(SEARCH("SCOM-SHELCBR",[1]OUT_FinalEnergyCons!$A$4:$A$10000)))*1,[1]OUT_FinalEnergyCons!G$4:G$10000)</f>
        <v>3.7940331551139544E-2</v>
      </c>
      <c r="J1887" s="1" cm="1">
        <f t="array" ref="J1887">SUMPRODUCT(([2]OUT_FinalEnergyCons!$B$4:$B$10000="Var_cap")*1, (ISNUMBER(SEARCH("SCOM-SHELCBR",[2]OUT_FinalEnergyCons!$A$4:$A$10000)))*1,[2]OUT_FinalEnergyCons!H$4:H$10000)</f>
        <v>2.0797574860649294E-2</v>
      </c>
      <c r="K1887" s="1" cm="1">
        <f t="array" ref="K1887">SUMPRODUCT(([2]OUT_FinalEnergyCons!$B$4:$B$10000="Var_cap")*1, (ISNUMBER(SEARCH("SCOM-SHELCBR",[2]OUT_FinalEnergyCons!$A$4:$A$10000)))*1,[2]OUT_FinalEnergyCons!I$4:I$10000)</f>
        <v>2.3716652063757032E-2</v>
      </c>
      <c r="L1887" s="1" cm="1">
        <f t="array" ref="L1887">SUMPRODUCT(([2]OUT_FinalEnergyCons!$B$4:$B$10000="Var_cap")*1, (ISNUMBER(SEARCH("SCOM-SHELCBR",[2]OUT_FinalEnergyCons!$A$4:$A$10000)))*1,[2]OUT_FinalEnergyCons!J$4:J$10000)</f>
        <v>1.5308982452681835E-2</v>
      </c>
      <c r="N1887" s="1"/>
    </row>
    <row r="1888" spans="2:14" x14ac:dyDescent="0.35">
      <c r="B1888" s="5" t="str">
        <f t="shared" ref="B1888:C1888" si="2010">B1887</f>
        <v>SPS1</v>
      </c>
      <c r="C1888" s="5" t="str">
        <f t="shared" si="2010"/>
        <v>CH</v>
      </c>
      <c r="D1888" t="s">
        <v>1903</v>
      </c>
      <c r="E1888" t="str">
        <f t="shared" si="1901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0.43061747946566387</v>
      </c>
      <c r="G1888" s="1" cm="1">
        <f t="array" ref="G1888">SUMPRODUCT(([1]OUT_FinalEnergyCons!$B$4:$B$10000="Var_cap")*1, (ISNUMBER(SEARCH("SCOM-SHELCHP",[1]OUT_FinalEnergyCons!$A$4:$A$10000)))*1,[1]OUT_FinalEnergyCons!E$4:E$10000)</f>
        <v>0.43061663458658084</v>
      </c>
      <c r="H1888" s="1" cm="1">
        <f t="array" ref="H1888">SUMPRODUCT(([1]OUT_FinalEnergyCons!$B$4:$B$10000="Var_cap")*1, (ISNUMBER(SEARCH("SCOM-SHELCHP",[1]OUT_FinalEnergyCons!$A$4:$A$10000)))*1,[1]OUT_FinalEnergyCons!F$4:F$10000)</f>
        <v>0.4306176189897486</v>
      </c>
      <c r="I1888" s="1" cm="1">
        <f t="array" ref="I1888">SUMPRODUCT(([1]OUT_FinalEnergyCons!$B$4:$B$10000="Var_cap")*1, (ISNUMBER(SEARCH("SCOM-SHELCHP",[1]OUT_FinalEnergyCons!$A$4:$A$10000)))*1,[1]OUT_FinalEnergyCons!G$4:G$10000)</f>
        <v>1.0995717689613309</v>
      </c>
      <c r="J1888" s="1" cm="1">
        <f t="array" ref="J1888">SUMPRODUCT(([2]OUT_FinalEnergyCons!$B$4:$B$10000="Var_cap")*1, (ISNUMBER(SEARCH("SCOM-SHELCHP",[2]OUT_FinalEnergyCons!$A$4:$A$10000)))*1,[2]OUT_FinalEnergyCons!H$4:H$10000)</f>
        <v>1.491217909370808</v>
      </c>
      <c r="K1888" s="1" cm="1">
        <f t="array" ref="K1888">SUMPRODUCT(([2]OUT_FinalEnergyCons!$B$4:$B$10000="Var_cap")*1, (ISNUMBER(SEARCH("SCOM-SHELCHP",[2]OUT_FinalEnergyCons!$A$4:$A$10000)))*1,[2]OUT_FinalEnergyCons!I$4:I$10000)</f>
        <v>1.954966062794073</v>
      </c>
      <c r="L1888" s="1" cm="1">
        <f t="array" ref="L1888">SUMPRODUCT(([2]OUT_FinalEnergyCons!$B$4:$B$10000="Var_cap")*1, (ISNUMBER(SEARCH("SCOM-SHELCHP",[2]OUT_FinalEnergyCons!$A$4:$A$10000)))*1,[2]OUT_FinalEnergyCons!J$4:J$10000)</f>
        <v>2.1237935545630275</v>
      </c>
      <c r="N1888" s="1"/>
    </row>
    <row r="1889" spans="2:14" x14ac:dyDescent="0.35">
      <c r="B1889" s="5" t="str">
        <f t="shared" ref="B1889:C1889" si="2011">B1888</f>
        <v>SPS1</v>
      </c>
      <c r="C1889" s="5" t="str">
        <f t="shared" si="2011"/>
        <v>CH</v>
      </c>
      <c r="D1889" t="s">
        <v>1904</v>
      </c>
      <c r="E1889" t="str">
        <f t="shared" si="1901"/>
        <v>GWth/yr.</v>
      </c>
      <c r="F1889" s="1">
        <f>F1890</f>
        <v>1.9285747769073243</v>
      </c>
      <c r="G1889" s="1">
        <f t="shared" ref="G1889:L1889" si="2012">G1890</f>
        <v>1.8774624883231941</v>
      </c>
      <c r="H1889" s="1">
        <f t="shared" si="2012"/>
        <v>1.5371967315702579</v>
      </c>
      <c r="I1889" s="1">
        <f t="shared" si="2012"/>
        <v>1.5370811812591674</v>
      </c>
      <c r="J1889" s="1">
        <f t="shared" si="2012"/>
        <v>0.65899259099900909</v>
      </c>
      <c r="K1889" s="1">
        <f t="shared" si="2012"/>
        <v>0.22970404582332227</v>
      </c>
      <c r="L1889" s="1">
        <f t="shared" si="2012"/>
        <v>2.8489880332477499E-2</v>
      </c>
      <c r="N1889" s="1"/>
    </row>
    <row r="1890" spans="2:14" x14ac:dyDescent="0.35">
      <c r="B1890" s="5" t="str">
        <f t="shared" ref="B1890:C1890" si="2013">B1889</f>
        <v>SPS1</v>
      </c>
      <c r="C1890" s="5" t="str">
        <f t="shared" si="2013"/>
        <v>CH</v>
      </c>
      <c r="D1890" t="s">
        <v>1905</v>
      </c>
      <c r="E1890" t="str">
        <f t="shared" ref="E1890:E1902" si="2014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1.9285747769073243</v>
      </c>
      <c r="G1890" s="1" cm="1">
        <f t="array" ref="G1890">SUMPRODUCT(([1]OUT_FinalEnergyCons!$B$4:$B$10000="Var_cap")*1,(ISNUMBER(SEARCH("SCOM-SHLFOBR",[1]OUT_FinalEnergyCons!$A$4:$A$10000)))*1,[1]OUT_FinalEnergyCons!E$4:E$10000)</f>
        <v>1.8774624883231941</v>
      </c>
      <c r="H1890" s="1" cm="1">
        <f t="array" ref="H1890">SUMPRODUCT(([1]OUT_FinalEnergyCons!$B$4:$B$10000="Var_cap")*1,(ISNUMBER(SEARCH("SCOM-SHLFOBR",[1]OUT_FinalEnergyCons!$A$4:$A$10000)))*1,[1]OUT_FinalEnergyCons!F$4:F$10000)</f>
        <v>1.5371967315702579</v>
      </c>
      <c r="I1890" s="1" cm="1">
        <f t="array" ref="I1890">SUMPRODUCT(([1]OUT_FinalEnergyCons!$B$4:$B$10000="Var_cap")*1,(ISNUMBER(SEARCH("SCOM-SHLFOBR",[1]OUT_FinalEnergyCons!$A$4:$A$10000)))*1,[1]OUT_FinalEnergyCons!G$4:G$10000)</f>
        <v>1.5370811812591674</v>
      </c>
      <c r="J1890" s="1" cm="1">
        <f t="array" ref="J1890">SUMPRODUCT(([2]OUT_FinalEnergyCons!$B$4:$B$10000="Var_cap")*1,(ISNUMBER(SEARCH("SCOM-SHLFOBR",[2]OUT_FinalEnergyCons!$A$4:$A$10000)))*1,[2]OUT_FinalEnergyCons!H$4:H$10000)</f>
        <v>0.65899259099900909</v>
      </c>
      <c r="K1890" s="1" cm="1">
        <f t="array" ref="K1890">SUMPRODUCT(([2]OUT_FinalEnergyCons!$B$4:$B$10000="Var_cap")*1,(ISNUMBER(SEARCH("SCOM-SHLFOBR",[2]OUT_FinalEnergyCons!$A$4:$A$10000)))*1,[2]OUT_FinalEnergyCons!I$4:I$10000)</f>
        <v>0.22970404582332227</v>
      </c>
      <c r="L1890" s="1" cm="1">
        <f t="array" ref="L1890">SUMPRODUCT(([2]OUT_FinalEnergyCons!$B$4:$B$10000="Var_cap")*1,(ISNUMBER(SEARCH("SCOM-SHLFOBR",[2]OUT_FinalEnergyCons!$A$4:$A$10000)))*1,[2]OUT_FinalEnergyCons!J$4:J$10000)</f>
        <v>2.8489880332477499E-2</v>
      </c>
      <c r="N1890" s="1"/>
    </row>
    <row r="1891" spans="2:14" x14ac:dyDescent="0.35">
      <c r="B1891" s="5" t="str">
        <f t="shared" ref="B1891:C1891" si="2015">B1890</f>
        <v>SPS1</v>
      </c>
      <c r="C1891" s="5" t="str">
        <f t="shared" si="2015"/>
        <v>CH</v>
      </c>
      <c r="D1891" t="s">
        <v>1906</v>
      </c>
      <c r="E1891" t="str">
        <f t="shared" si="2014"/>
        <v>GWth/yr.</v>
      </c>
      <c r="F1891" s="1">
        <f>SUM(F1892:F1894)</f>
        <v>2.8800239779953856</v>
      </c>
      <c r="G1891" s="1">
        <f t="shared" ref="G1891:K1891" si="2016">SUM(G1892:G1894)</f>
        <v>2.8800150788759353</v>
      </c>
      <c r="H1891" s="1">
        <f t="shared" si="2016"/>
        <v>2.4291895754847812</v>
      </c>
      <c r="I1891" s="1">
        <f t="shared" si="2016"/>
        <v>2.5222094828109345</v>
      </c>
      <c r="J1891" s="1">
        <f t="shared" si="2016"/>
        <v>1.2248822194997433</v>
      </c>
      <c r="K1891" s="1">
        <f t="shared" si="2016"/>
        <v>0.70700357386678003</v>
      </c>
      <c r="L1891" s="1">
        <f t="shared" ref="L1891" si="2017">SUM(L1892:L1894)</f>
        <v>0.51508778037608272</v>
      </c>
      <c r="N1891" s="1"/>
    </row>
    <row r="1892" spans="2:14" x14ac:dyDescent="0.35">
      <c r="B1892" s="5" t="str">
        <f t="shared" ref="B1892:C1892" si="2018">B1891</f>
        <v>SPS1</v>
      </c>
      <c r="C1892" s="5" t="str">
        <f t="shared" si="2018"/>
        <v>CH</v>
      </c>
      <c r="D1892" t="s">
        <v>1907</v>
      </c>
      <c r="E1892" t="str">
        <f t="shared" si="2014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2.7746817143946108</v>
      </c>
      <c r="G1892" s="1" cm="1">
        <f t="array" ref="G1892">SUMPRODUCT(([1]OUT_FinalEnergyCons!$B$4:$B$10000="Var_cap")*1, (ISNUMBER(SEARCH("SCOM-SHNGABR",[1]OUT_FinalEnergyCons!$A$4:$A$10000)))*1,[1]OUT_FinalEnergyCons!E$4:E$10000)</f>
        <v>2.7746168848252859</v>
      </c>
      <c r="H1892" s="1" cm="1">
        <f t="array" ref="H1892">SUMPRODUCT(([1]OUT_FinalEnergyCons!$B$4:$B$10000="Var_cap")*1, (ISNUMBER(SEARCH("SCOM-SHNGABR",[1]OUT_FinalEnergyCons!$A$4:$A$10000)))*1,[1]OUT_FinalEnergyCons!F$4:F$10000)</f>
        <v>2.186344621372788</v>
      </c>
      <c r="I1892" s="1" cm="1">
        <f t="array" ref="I1892">SUMPRODUCT(([1]OUT_FinalEnergyCons!$B$4:$B$10000="Var_cap")*1, (ISNUMBER(SEARCH("SCOM-SHNGABR",[1]OUT_FinalEnergyCons!$A$4:$A$10000)))*1,[1]OUT_FinalEnergyCons!G$4:G$10000)</f>
        <v>2.1862852251306588</v>
      </c>
      <c r="J1892" s="1" cm="1">
        <f t="array" ref="J1892">SUMPRODUCT(([2]OUT_FinalEnergyCons!$B$4:$B$10000="Var_cap")*1, (ISNUMBER(SEARCH("SCOM-SHNGABR",[2]OUT_FinalEnergyCons!$A$4:$A$10000)))*1,[2]OUT_FinalEnergyCons!H$4:H$10000)</f>
        <v>0.89898750873420796</v>
      </c>
      <c r="K1892" s="1" cm="1">
        <f t="array" ref="K1892">SUMPRODUCT(([2]OUT_FinalEnergyCons!$B$4:$B$10000="Var_cap")*1, (ISNUMBER(SEARCH("SCOM-SHNGABR",[2]OUT_FinalEnergyCons!$A$4:$A$10000)))*1,[2]OUT_FinalEnergyCons!I$4:I$10000)</f>
        <v>0.33146919628157168</v>
      </c>
      <c r="L1892" s="1" cm="1">
        <f t="array" ref="L1892">SUMPRODUCT(([2]OUT_FinalEnergyCons!$B$4:$B$10000="Var_cap")*1, (ISNUMBER(SEARCH("SCOM-SHNGABR",[2]OUT_FinalEnergyCons!$A$4:$A$10000)))*1,[2]OUT_FinalEnergyCons!J$4:J$10000)</f>
        <v>0.1402082152464241</v>
      </c>
      <c r="N1892" s="1"/>
    </row>
    <row r="1893" spans="2:14" x14ac:dyDescent="0.35">
      <c r="B1893" s="5" t="str">
        <f t="shared" ref="B1893:C1893" si="2019">B1892</f>
        <v>SPS1</v>
      </c>
      <c r="C1893" s="5" t="str">
        <f t="shared" si="2019"/>
        <v>CH</v>
      </c>
      <c r="D1893" t="s">
        <v>1908</v>
      </c>
      <c r="E1893" t="str">
        <f t="shared" si="2014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5.8768057755896695E-7</v>
      </c>
      <c r="G1893" s="1" cm="1">
        <f t="array" ref="G1893">SUMPRODUCT(([1]OUT_FinalEnergyCons!$B$4:$B$10000="Var_cap")*1, (ISNUMBER(SEARCH("SCOM-SHngahp",[1]OUT_FinalEnergyCons!$A$4:$A$10000)))*1,[1]OUT_FinalEnergyCons!E$4:E$10000)</f>
        <v>5.4436831861523735E-5</v>
      </c>
      <c r="H1893" s="1" cm="1">
        <f t="array" ref="H1893">SUMPRODUCT(([1]OUT_FinalEnergyCons!$B$4:$B$10000="Var_cap")*1, (ISNUMBER(SEARCH("SCOM-SHngahp",[1]OUT_FinalEnergyCons!$A$4:$A$10000)))*1,[1]OUT_FinalEnergyCons!F$4:F$10000)</f>
        <v>0.13754460521909825</v>
      </c>
      <c r="I1893" s="1" cm="1">
        <f t="array" ref="I1893">SUMPRODUCT(([1]OUT_FinalEnergyCons!$B$4:$B$10000="Var_cap")*1, (ISNUMBER(SEARCH("SCOM-SHngahp",[1]OUT_FinalEnergyCons!$A$4:$A$10000)))*1,[1]OUT_FinalEnergyCons!G$4:G$10000)</f>
        <v>0.23063315110610794</v>
      </c>
      <c r="J1893" s="1" cm="1">
        <f t="array" ref="J1893">SUMPRODUCT(([2]OUT_FinalEnergyCons!$B$4:$B$10000="Var_cap")*1, (ISNUMBER(SEARCH("SCOM-SHngahp",[2]OUT_FinalEnergyCons!$A$4:$A$10000)))*1,[2]OUT_FinalEnergyCons!H$4:H$10000)</f>
        <v>0.29855370196177577</v>
      </c>
      <c r="K1893" s="1" cm="1">
        <f t="array" ref="K1893">SUMPRODUCT(([2]OUT_FinalEnergyCons!$B$4:$B$10000="Var_cap")*1, (ISNUMBER(SEARCH("SCOM-SHngahp",[2]OUT_FinalEnergyCons!$A$4:$A$10000)))*1,[2]OUT_FinalEnergyCons!I$4:I$10000)</f>
        <v>0.37548053820177663</v>
      </c>
      <c r="L1893" s="1" cm="1">
        <f t="array" ref="L1893">SUMPRODUCT(([2]OUT_FinalEnergyCons!$B$4:$B$10000="Var_cap")*1, (ISNUMBER(SEARCH("SCOM-SHngahp",[2]OUT_FinalEnergyCons!$A$4:$A$10000)))*1,[2]OUT_FinalEnergyCons!J$4:J$10000)</f>
        <v>0.37483591825380286</v>
      </c>
      <c r="N1893" s="1"/>
    </row>
    <row r="1894" spans="2:14" x14ac:dyDescent="0.35">
      <c r="B1894" s="5" t="str">
        <f t="shared" ref="B1894:C1894" si="2020">B1893</f>
        <v>SPS1</v>
      </c>
      <c r="C1894" s="5" t="str">
        <f t="shared" si="2020"/>
        <v>CH</v>
      </c>
      <c r="D1894" t="s">
        <v>1909</v>
      </c>
      <c r="E1894" t="str">
        <f t="shared" si="2014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0.10534167592019714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0.10534375721878823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0.10530034889289523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0.10529110657416767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2.7341008803759503E-2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5.3839383431756937E-5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4.3646875855784257E-5</v>
      </c>
      <c r="N1894" s="1"/>
    </row>
    <row r="1895" spans="2:14" x14ac:dyDescent="0.35">
      <c r="B1895" s="5" t="str">
        <f t="shared" ref="B1895:C1895" si="2021">B1894</f>
        <v>SPS1</v>
      </c>
      <c r="C1895" s="5" t="str">
        <f t="shared" si="2021"/>
        <v>CH</v>
      </c>
      <c r="D1895" t="s">
        <v>1910</v>
      </c>
      <c r="E1895" t="str">
        <f t="shared" si="2014"/>
        <v>GWth/yr.</v>
      </c>
      <c r="F1895" s="1">
        <f>F1896</f>
        <v>0.47843419304202695</v>
      </c>
      <c r="G1895" s="1">
        <f t="shared" ref="G1895:L1895" si="2022">G1896</f>
        <v>0.51214247667996193</v>
      </c>
      <c r="H1895" s="1">
        <f t="shared" si="2022"/>
        <v>0.57739092501168021</v>
      </c>
      <c r="I1895" s="1">
        <f t="shared" si="2022"/>
        <v>0.57738024841596158</v>
      </c>
      <c r="J1895" s="1">
        <f t="shared" si="2022"/>
        <v>0.50137621090588991</v>
      </c>
      <c r="K1895" s="1">
        <f t="shared" si="2022"/>
        <v>0.43397078334942174</v>
      </c>
      <c r="L1895" s="1">
        <f t="shared" si="2022"/>
        <v>0.31750560769872932</v>
      </c>
      <c r="N1895" s="1"/>
    </row>
    <row r="1896" spans="2:14" x14ac:dyDescent="0.35">
      <c r="B1896" s="5" t="str">
        <f t="shared" ref="B1896:C1896" si="2023">B1895</f>
        <v>SPS1</v>
      </c>
      <c r="C1896" s="5" t="str">
        <f t="shared" si="2023"/>
        <v>CH</v>
      </c>
      <c r="D1896" t="s">
        <v>1911</v>
      </c>
      <c r="E1896" t="str">
        <f t="shared" si="2014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0.47843419304202695</v>
      </c>
      <c r="G1896" s="1" cm="1">
        <f t="array" ref="G1896">SUMPRODUCT(([1]OUT_FinalEnergyCons!$B$4:$B$10000="Var_cap")*1, (ISNUMBER(SEARCH("SCOM-SHWODBR",[1]OUT_FinalEnergyCons!$A$4:$A$10000)))*1,[1]OUT_FinalEnergyCons!E$4:E$10000)</f>
        <v>0.51214247667996193</v>
      </c>
      <c r="H1896" s="1" cm="1">
        <f t="array" ref="H1896">SUMPRODUCT(([1]OUT_FinalEnergyCons!$B$4:$B$10000="Var_cap")*1, (ISNUMBER(SEARCH("SCOM-SHWODBR",[1]OUT_FinalEnergyCons!$A$4:$A$10000)))*1,[1]OUT_FinalEnergyCons!F$4:F$10000)</f>
        <v>0.57739092501168021</v>
      </c>
      <c r="I1896" s="1" cm="1">
        <f t="array" ref="I1896">SUMPRODUCT(([1]OUT_FinalEnergyCons!$B$4:$B$10000="Var_cap")*1, (ISNUMBER(SEARCH("SCOM-SHWODBR",[1]OUT_FinalEnergyCons!$A$4:$A$10000)))*1,[1]OUT_FinalEnergyCons!G$4:G$10000)</f>
        <v>0.57738024841596158</v>
      </c>
      <c r="J1896" s="1" cm="1">
        <f t="array" ref="J1896">SUMPRODUCT(([2]OUT_FinalEnergyCons!$B$4:$B$10000="Var_cap")*1, (ISNUMBER(SEARCH("SCOM-SHWODBR",[2]OUT_FinalEnergyCons!$A$4:$A$10000)))*1,[2]OUT_FinalEnergyCons!H$4:H$10000)</f>
        <v>0.50137621090588991</v>
      </c>
      <c r="K1896" s="1" cm="1">
        <f t="array" ref="K1896">SUMPRODUCT(([2]OUT_FinalEnergyCons!$B$4:$B$10000="Var_cap")*1, (ISNUMBER(SEARCH("SCOM-SHWODBR",[2]OUT_FinalEnergyCons!$A$4:$A$10000)))*1,[2]OUT_FinalEnergyCons!I$4:I$10000)</f>
        <v>0.43397078334942174</v>
      </c>
      <c r="L1896" s="1" cm="1">
        <f t="array" ref="L1896">SUMPRODUCT(([2]OUT_FinalEnergyCons!$B$4:$B$10000="Var_cap")*1, (ISNUMBER(SEARCH("SCOM-SHWODBR",[2]OUT_FinalEnergyCons!$A$4:$A$10000)))*1,[2]OUT_FinalEnergyCons!J$4:J$10000)</f>
        <v>0.31750560769872932</v>
      </c>
      <c r="N1896" s="1"/>
    </row>
    <row r="1897" spans="2:14" x14ac:dyDescent="0.35">
      <c r="B1897" s="5" t="str">
        <f t="shared" ref="B1897:C1897" si="2024">B1896</f>
        <v>SPS1</v>
      </c>
      <c r="C1897" s="5" t="str">
        <f t="shared" si="2024"/>
        <v>CH</v>
      </c>
      <c r="D1897" t="s">
        <v>1912</v>
      </c>
      <c r="E1897" t="str">
        <f t="shared" si="2014"/>
        <v>GWth/yr.</v>
      </c>
      <c r="F1897" s="1">
        <f>F1898</f>
        <v>0.15051221087176395</v>
      </c>
      <c r="G1897" s="1">
        <f t="shared" ref="G1897:L1897" si="2025">G1898</f>
        <v>0.17480433790731351</v>
      </c>
      <c r="H1897" s="1">
        <f t="shared" si="2025"/>
        <v>9.5599736700358207E-2</v>
      </c>
      <c r="I1897" s="1">
        <f t="shared" si="2025"/>
        <v>9.5596358299018622E-2</v>
      </c>
      <c r="J1897" s="1">
        <f t="shared" si="2025"/>
        <v>7.0857630256657186E-2</v>
      </c>
      <c r="K1897" s="1">
        <f t="shared" si="2025"/>
        <v>7.6704056541463825E-2</v>
      </c>
      <c r="L1897" s="1">
        <f t="shared" si="2025"/>
        <v>6.5005150633844586E-2</v>
      </c>
      <c r="N1897" s="1"/>
    </row>
    <row r="1898" spans="2:14" x14ac:dyDescent="0.35">
      <c r="B1898" s="5" t="str">
        <f t="shared" ref="B1898:C1898" si="2026">B1897</f>
        <v>SPS1</v>
      </c>
      <c r="C1898" s="5" t="str">
        <f t="shared" si="2026"/>
        <v>CH</v>
      </c>
      <c r="D1898" t="s">
        <v>1913</v>
      </c>
      <c r="E1898" t="str">
        <f t="shared" si="2014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0.15051221087176395</v>
      </c>
      <c r="G1898" s="1" cm="1">
        <f t="array" ref="G1898">SUMPRODUCT(([1]OUT_FinalEnergyCons!$B$4:$B$10000="Var_cap")*1,(ISNUMBER(SEARCH("SCOM-SHPLTBR",[1]OUT_FinalEnergyCons!$A$4:$A$10000)))*1,[1]OUT_FinalEnergyCons!E$4:E$10000)</f>
        <v>0.17480433790731351</v>
      </c>
      <c r="H1898" s="1" cm="1">
        <f t="array" ref="H1898">SUMPRODUCT(([1]OUT_FinalEnergyCons!$B$4:$B$10000="Var_cap")*1,(ISNUMBER(SEARCH("SCOM-SHPLTBR",[1]OUT_FinalEnergyCons!$A$4:$A$10000)))*1,[1]OUT_FinalEnergyCons!F$4:F$10000)</f>
        <v>9.5599736700358207E-2</v>
      </c>
      <c r="I1898" s="1" cm="1">
        <f t="array" ref="I1898">SUMPRODUCT(([1]OUT_FinalEnergyCons!$B$4:$B$10000="Var_cap")*1,(ISNUMBER(SEARCH("SCOM-SHPLTBR",[1]OUT_FinalEnergyCons!$A$4:$A$10000)))*1,[1]OUT_FinalEnergyCons!G$4:G$10000)</f>
        <v>9.5596358299018622E-2</v>
      </c>
      <c r="J1898" s="1" cm="1">
        <f t="array" ref="J1898">SUMPRODUCT(([2]OUT_FinalEnergyCons!$B$4:$B$10000="Var_cap")*1,(ISNUMBER(SEARCH("SCOM-SHPLTBR",[2]OUT_FinalEnergyCons!$A$4:$A$10000)))*1,[2]OUT_FinalEnergyCons!H$4:H$10000)</f>
        <v>7.0857630256657186E-2</v>
      </c>
      <c r="K1898" s="1" cm="1">
        <f t="array" ref="K1898">SUMPRODUCT(([2]OUT_FinalEnergyCons!$B$4:$B$10000="Var_cap")*1,(ISNUMBER(SEARCH("SCOM-SHPLTBR",[2]OUT_FinalEnergyCons!$A$4:$A$10000)))*1,[2]OUT_FinalEnergyCons!I$4:I$10000)</f>
        <v>7.6704056541463825E-2</v>
      </c>
      <c r="L1898" s="1" cm="1">
        <f t="array" ref="L1898">SUMPRODUCT(([2]OUT_FinalEnergyCons!$B$4:$B$10000="Var_cap")*1,(ISNUMBER(SEARCH("SCOM-SHPLTBR",[2]OUT_FinalEnergyCons!$A$4:$A$10000)))*1,[2]OUT_FinalEnergyCons!J$4:J$10000)</f>
        <v>6.5005150633844586E-2</v>
      </c>
      <c r="N1898" s="1"/>
    </row>
    <row r="1899" spans="2:14" x14ac:dyDescent="0.35">
      <c r="B1899" s="5" t="str">
        <f t="shared" ref="B1899:C1899" si="2027">B1898</f>
        <v>SPS1</v>
      </c>
      <c r="C1899" s="5" t="str">
        <f t="shared" si="2027"/>
        <v>CH</v>
      </c>
      <c r="D1899" t="s">
        <v>1914</v>
      </c>
      <c r="E1899" t="str">
        <f t="shared" si="2014"/>
        <v>GWth/yr.</v>
      </c>
      <c r="F1899" s="1">
        <f>F1900</f>
        <v>9.1081296587893726E-2</v>
      </c>
      <c r="G1899" s="1">
        <f t="shared" ref="G1899:L1899" si="2028">G1900</f>
        <v>9.9843699238475705E-2</v>
      </c>
      <c r="H1899" s="1">
        <f t="shared" si="2028"/>
        <v>9.9843559703485074E-2</v>
      </c>
      <c r="I1899" s="1">
        <f t="shared" si="2028"/>
        <v>0.11201656897609218</v>
      </c>
      <c r="J1899" s="1">
        <f t="shared" si="2028"/>
        <v>0.13049962928143716</v>
      </c>
      <c r="K1899" s="1">
        <f t="shared" si="2028"/>
        <v>0.16199103010283042</v>
      </c>
      <c r="L1899" s="1">
        <f t="shared" si="2028"/>
        <v>0.18682218508594584</v>
      </c>
      <c r="N1899" s="1"/>
    </row>
    <row r="1900" spans="2:14" x14ac:dyDescent="0.35">
      <c r="B1900" s="5" t="str">
        <f t="shared" ref="B1900:C1900" si="2029">B1899</f>
        <v>SPS1</v>
      </c>
      <c r="C1900" s="5" t="str">
        <f t="shared" si="2029"/>
        <v>CH</v>
      </c>
      <c r="D1900" t="s">
        <v>1915</v>
      </c>
      <c r="E1900" t="str">
        <f t="shared" si="2014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9.1081296587893726E-2</v>
      </c>
      <c r="G1900" s="1" cm="1">
        <f t="array" ref="G1900">SUMPRODUCT(([1]OUT_FinalEnergyCons!$B$4:$B$10000="Var_cap")*1, (ISNUMBER(SEARCH("SCOM-SHSOLBR",[1]OUT_FinalEnergyCons!$A$4:$A$10000)))*1,[1]OUT_FinalEnergyCons!E$4:E$10000)</f>
        <v>9.9843699238475705E-2</v>
      </c>
      <c r="H1900" s="1" cm="1">
        <f t="array" ref="H1900">SUMPRODUCT(([1]OUT_FinalEnergyCons!$B$4:$B$10000="Var_cap")*1, (ISNUMBER(SEARCH("SCOM-SHSOLBR",[1]OUT_FinalEnergyCons!$A$4:$A$10000)))*1,[1]OUT_FinalEnergyCons!F$4:F$10000)</f>
        <v>9.9843559703485074E-2</v>
      </c>
      <c r="I1900" s="1" cm="1">
        <f t="array" ref="I1900">SUMPRODUCT(([1]OUT_FinalEnergyCons!$B$4:$B$10000="Var_cap")*1, (ISNUMBER(SEARCH("SCOM-SHSOLBR",[1]OUT_FinalEnergyCons!$A$4:$A$10000)))*1,[1]OUT_FinalEnergyCons!G$4:G$10000)</f>
        <v>0.11201656897609218</v>
      </c>
      <c r="J1900" s="1" cm="1">
        <f t="array" ref="J1900">SUMPRODUCT(([2]OUT_FinalEnergyCons!$B$4:$B$10000="Var_cap")*1, (ISNUMBER(SEARCH("SCOM-SHSOLBR",[2]OUT_FinalEnergyCons!$A$4:$A$10000)))*1,[2]OUT_FinalEnergyCons!H$4:H$10000)</f>
        <v>0.13049962928143716</v>
      </c>
      <c r="K1900" s="1" cm="1">
        <f t="array" ref="K1900">SUMPRODUCT(([2]OUT_FinalEnergyCons!$B$4:$B$10000="Var_cap")*1, (ISNUMBER(SEARCH("SCOM-SHSOLBR",[2]OUT_FinalEnergyCons!$A$4:$A$10000)))*1,[2]OUT_FinalEnergyCons!I$4:I$10000)</f>
        <v>0.16199103010283042</v>
      </c>
      <c r="L1900" s="1" cm="1">
        <f t="array" ref="L1900">SUMPRODUCT(([2]OUT_FinalEnergyCons!$B$4:$B$10000="Var_cap")*1, (ISNUMBER(SEARCH("SCOM-SHSOLBR",[2]OUT_FinalEnergyCons!$A$4:$A$10000)))*1,[2]OUT_FinalEnergyCons!J$4:J$10000)</f>
        <v>0.18682218508594584</v>
      </c>
      <c r="N1900" s="1"/>
    </row>
    <row r="1901" spans="2:14" x14ac:dyDescent="0.35">
      <c r="B1901" s="5" t="str">
        <f t="shared" ref="B1901:C1901" si="2030">B1900</f>
        <v>SPS1</v>
      </c>
      <c r="C1901" s="5" t="str">
        <f t="shared" si="2030"/>
        <v>CH</v>
      </c>
      <c r="D1901" t="s">
        <v>1916</v>
      </c>
      <c r="E1901" t="str">
        <f t="shared" si="2014"/>
        <v>GWth/yr.</v>
      </c>
      <c r="F1901" s="1">
        <f>F1902</f>
        <v>0</v>
      </c>
      <c r="G1901" s="1">
        <f t="shared" ref="G1901:L1901" si="2031">G1902</f>
        <v>0</v>
      </c>
      <c r="H1901" s="1">
        <f t="shared" si="2031"/>
        <v>0</v>
      </c>
      <c r="I1901" s="1">
        <f t="shared" si="2031"/>
        <v>1.0078657820408E-6</v>
      </c>
      <c r="J1901" s="1">
        <f t="shared" si="2031"/>
        <v>0.87069884636322115</v>
      </c>
      <c r="K1901" s="1">
        <f t="shared" si="2031"/>
        <v>1.4589729753347842</v>
      </c>
      <c r="L1901" s="1">
        <f t="shared" si="2031"/>
        <v>1.4326009822522348</v>
      </c>
      <c r="N1901" s="1"/>
    </row>
    <row r="1902" spans="2:14" x14ac:dyDescent="0.35">
      <c r="B1902" s="5" t="str">
        <f t="shared" ref="B1902:C1902" si="2032">B1901</f>
        <v>SPS1</v>
      </c>
      <c r="C1902" s="5" t="str">
        <f t="shared" si="2032"/>
        <v>CH</v>
      </c>
      <c r="D1902" t="s">
        <v>1917</v>
      </c>
      <c r="E1902" t="str">
        <f t="shared" si="2014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1.0078657820408E-6</v>
      </c>
      <c r="J1902" s="1" cm="1">
        <f t="array" ref="J1902">SUMPRODUCT(([2]OUT_FinalEnergyCons!$B$4:$B$10000="Var_cap")*1, (ISNUMBER(SEARCH("SCOM-SHH2BR",[2]OUT_FinalEnergyCons!$A$4:$A$10000)))*1,[2]OUT_FinalEnergyCons!H$4:H$10000)</f>
        <v>0.87069884636322115</v>
      </c>
      <c r="K1902" s="1" cm="1">
        <f t="array" ref="K1902">SUMPRODUCT(([2]OUT_FinalEnergyCons!$B$4:$B$10000="Var_cap")*1, (ISNUMBER(SEARCH("SCOM-SHH2BR",[2]OUT_FinalEnergyCons!$A$4:$A$10000)))*1,[2]OUT_FinalEnergyCons!I$4:I$10000)</f>
        <v>1.4589729753347842</v>
      </c>
      <c r="L1902" s="1" cm="1">
        <f t="array" ref="L1902">SUMPRODUCT(([2]OUT_FinalEnergyCons!$B$4:$B$10000="Var_cap")*1, (ISNUMBER(SEARCH("SCOM-SHH2BR",[2]OUT_FinalEnergyCons!$A$4:$A$10000)))*1,[2]OUT_FinalEnergyCons!J$4:J$10000)</f>
        <v>1.4326009822522348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4.6765691137633878</v>
      </c>
      <c r="G1903" s="3">
        <f t="shared" ref="G1903:K1903" si="2033">SUM(G1904:G1953)</f>
        <v>4.837135042201032</v>
      </c>
      <c r="H1903" s="3">
        <f t="shared" si="2033"/>
        <v>4.9055642188036677</v>
      </c>
      <c r="I1903" s="3">
        <f t="shared" si="2033"/>
        <v>5.2123762595476721</v>
      </c>
      <c r="J1903" s="3">
        <f t="shared" si="2033"/>
        <v>5.3796367669966685</v>
      </c>
      <c r="K1903" s="3">
        <f t="shared" si="2033"/>
        <v>5.5471518394367934</v>
      </c>
      <c r="L1903" s="3">
        <f t="shared" ref="L1903" si="2034">SUM(L1904:L1953)</f>
        <v>5.7562128050901551</v>
      </c>
      <c r="N1903" s="1"/>
    </row>
    <row r="1904" spans="2:14" x14ac:dyDescent="0.35">
      <c r="B1904" s="5" t="str">
        <f t="shared" ref="B1904:B1953" si="2035">B1903</f>
        <v>SPS1</v>
      </c>
      <c r="C1904" s="5" t="str">
        <f t="shared" ref="C1904:C1953" si="2036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2.8026333697741698E-2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1.4013317640559948E-2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5"/>
        <v>SPS1</v>
      </c>
      <c r="C1905" s="5" t="str">
        <f t="shared" si="2036"/>
        <v>CH</v>
      </c>
      <c r="D1905" t="s">
        <v>1922</v>
      </c>
      <c r="E1905" t="str">
        <f t="shared" ref="E1905:E1953" si="2037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1.5661606392525914E-3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2.6041175439108868E-3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2.7914183754358282E-3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0.14207072454512137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0.28509338773817317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0.35224318554171785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0.3719332962615704</v>
      </c>
      <c r="N1905" s="1"/>
    </row>
    <row r="1906" spans="2:14" x14ac:dyDescent="0.35">
      <c r="B1906" s="5" t="str">
        <f t="shared" si="2035"/>
        <v>SPS1</v>
      </c>
      <c r="C1906" s="5" t="str">
        <f t="shared" si="2036"/>
        <v>CH</v>
      </c>
      <c r="D1906" t="s">
        <v>1923</v>
      </c>
      <c r="E1906" t="str">
        <f t="shared" si="2037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7.3697826082445971E-3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1.1535341277909296E-2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1.4514958674710426E-2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0.57802220379757052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1.6948428393977866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1.9159860288703687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1.9034362716191928</v>
      </c>
      <c r="N1906" s="1"/>
    </row>
    <row r="1907" spans="2:14" x14ac:dyDescent="0.35">
      <c r="B1907" s="5" t="str">
        <f t="shared" si="2035"/>
        <v>SPS1</v>
      </c>
      <c r="C1907" s="5" t="str">
        <f t="shared" si="2036"/>
        <v>CH</v>
      </c>
      <c r="D1907" t="s">
        <v>1924</v>
      </c>
      <c r="E1907" t="str">
        <f t="shared" si="2037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4.2925302861631098E-3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1.1086898707749569E-2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4.8327235100200205E-2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4.2231026982515012E-2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6.5156474403857412E-2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0.46558767516682198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0.99792967925922016</v>
      </c>
      <c r="N1907" s="1"/>
    </row>
    <row r="1908" spans="2:14" x14ac:dyDescent="0.35">
      <c r="B1908" s="5" t="str">
        <f t="shared" si="2035"/>
        <v>SPS1</v>
      </c>
      <c r="C1908" s="5" t="str">
        <f t="shared" si="2036"/>
        <v>CH</v>
      </c>
      <c r="D1908" t="s">
        <v>1925</v>
      </c>
      <c r="E1908" t="str">
        <f t="shared" si="2037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1.536654608486376E-2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0.10844628173416157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0.32748831556801328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1.0370396267379387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1.6951347236366139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1.9471146047114305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2.3028077335946455</v>
      </c>
      <c r="N1908" s="1"/>
    </row>
    <row r="1909" spans="2:14" x14ac:dyDescent="0.35">
      <c r="B1909" s="5" t="str">
        <f t="shared" si="2035"/>
        <v>SPS1</v>
      </c>
      <c r="C1909" s="5" t="str">
        <f t="shared" si="2036"/>
        <v>CH</v>
      </c>
      <c r="D1909" t="s">
        <v>1926</v>
      </c>
      <c r="E1909" t="str">
        <f t="shared" si="2037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2.5987097647235018E-5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1.412605808079979E-4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2.1959155713198596E-4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3.1253447772141147E-4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1.8576035678910484E-4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1.0214527490346188E-4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2.0852619935209361E-5</v>
      </c>
      <c r="N1909" s="1"/>
    </row>
    <row r="1910" spans="2:14" x14ac:dyDescent="0.35">
      <c r="B1910" s="5" t="str">
        <f t="shared" si="2035"/>
        <v>SPS1</v>
      </c>
      <c r="C1910" s="5" t="str">
        <f t="shared" si="2036"/>
        <v>CH</v>
      </c>
      <c r="D1910" t="s">
        <v>1927</v>
      </c>
      <c r="E1910" t="str">
        <f t="shared" si="2037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4.8858709226447684E-3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7.5142737069633769E-3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7.3461983013283052E-3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6.9447349444352697E-3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3.0152274459185361E-3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1.1123166803665837E-3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6.0181125509118769E-5</v>
      </c>
      <c r="N1910" s="1"/>
    </row>
    <row r="1911" spans="2:14" x14ac:dyDescent="0.35">
      <c r="B1911" s="5" t="str">
        <f t="shared" si="2035"/>
        <v>SPS1</v>
      </c>
      <c r="C1911" s="5" t="str">
        <f t="shared" si="2036"/>
        <v>CH</v>
      </c>
      <c r="D1911" t="s">
        <v>1928</v>
      </c>
      <c r="E1911" t="str">
        <f t="shared" si="2037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4.0686799017325458E-3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2.4728879757073382E-2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8.168847807657964E-2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0.357829213462454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0.6847897853315067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0.47832765715092396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0.1045067418321113</v>
      </c>
      <c r="N1911" s="1"/>
    </row>
    <row r="1912" spans="2:14" x14ac:dyDescent="0.35">
      <c r="B1912" s="5" t="str">
        <f t="shared" si="2035"/>
        <v>SPS1</v>
      </c>
      <c r="C1912" s="5" t="str">
        <f t="shared" si="2036"/>
        <v>CH</v>
      </c>
      <c r="D1912" t="s">
        <v>1929</v>
      </c>
      <c r="E1912" t="str">
        <f t="shared" si="2037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7.2626549955777863E-3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1.2705560811982739E-2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1.2389431581344703E-2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1.5509224316105855E-2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2.7330194554367427E-3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5.054676363049046E-4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4.88235032459495E-5</v>
      </c>
      <c r="N1912" s="1"/>
    </row>
    <row r="1913" spans="2:14" x14ac:dyDescent="0.35">
      <c r="B1913" s="5" t="str">
        <f t="shared" si="2035"/>
        <v>SPS1</v>
      </c>
      <c r="C1913" s="5" t="str">
        <f t="shared" si="2036"/>
        <v>CH</v>
      </c>
      <c r="D1913" t="s">
        <v>1930</v>
      </c>
      <c r="E1913" t="str">
        <f t="shared" si="2037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1.2636839364101499E-4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2.0525262086424151E-4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3.0543067162731267E-4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1.88702600700607E-4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1.0285956530192361E-4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2.0889509677656849E-5</v>
      </c>
      <c r="N1913" s="1"/>
    </row>
    <row r="1914" spans="2:14" x14ac:dyDescent="0.35">
      <c r="B1914" s="5" t="str">
        <f t="shared" si="2035"/>
        <v>SPS1</v>
      </c>
      <c r="C1914" s="5" t="str">
        <f t="shared" si="2036"/>
        <v>CH</v>
      </c>
      <c r="D1914" t="s">
        <v>1931</v>
      </c>
      <c r="E1914" t="str">
        <f t="shared" si="2037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6.1549408188506463E-5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1.8268609546333501E-4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1.2421930016951422E-3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7.1120015641725461E-3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3.5939225099624848E-3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6.2806495216290306E-5</v>
      </c>
      <c r="N1914" s="1"/>
    </row>
    <row r="1915" spans="2:14" x14ac:dyDescent="0.35">
      <c r="B1915" s="5" t="str">
        <f t="shared" si="2035"/>
        <v>SPS1</v>
      </c>
      <c r="C1915" s="5" t="str">
        <f t="shared" si="2036"/>
        <v>CH</v>
      </c>
      <c r="D1915" t="s">
        <v>1932</v>
      </c>
      <c r="E1915" t="str">
        <f t="shared" si="2037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2.2698488993579173E-2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6.7922013386565436E-2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0.25731022982522467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0.49515583091449783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0.34113189567866625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7.5333191284962825E-2</v>
      </c>
      <c r="N1915" s="1"/>
    </row>
    <row r="1916" spans="2:14" x14ac:dyDescent="0.35">
      <c r="B1916" s="5" t="str">
        <f t="shared" si="2035"/>
        <v>SPS1</v>
      </c>
      <c r="C1916" s="5" t="str">
        <f t="shared" si="2036"/>
        <v>CH</v>
      </c>
      <c r="D1916" t="s">
        <v>1933</v>
      </c>
      <c r="E1916" t="str">
        <f t="shared" si="2037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2.5902849676736028E-4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1.0118985419219073E-3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1.1918014037983439E-3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5.8427312744745294E-3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1.3071696906623532E-3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6.0997759316855425E-4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4.9336798571982701E-5</v>
      </c>
      <c r="N1916" s="1"/>
    </row>
    <row r="1917" spans="2:14" x14ac:dyDescent="0.35">
      <c r="B1917" s="5" t="str">
        <f t="shared" si="2035"/>
        <v>SPS1</v>
      </c>
      <c r="C1917" s="5" t="str">
        <f t="shared" si="2036"/>
        <v>CH</v>
      </c>
      <c r="D1917" t="s">
        <v>1934</v>
      </c>
      <c r="E1917" t="str">
        <f t="shared" si="2037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4.7014582140248198E-6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6.5752093324749599E-6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6.038648767432997E-7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8.0302008085142013E-7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8.3634764136163221E-7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7.4990592956795298E-7</v>
      </c>
      <c r="N1917" s="1"/>
    </row>
    <row r="1918" spans="2:14" x14ac:dyDescent="0.35">
      <c r="B1918" s="5" t="str">
        <f t="shared" si="2035"/>
        <v>SPS1</v>
      </c>
      <c r="C1918" s="5" t="str">
        <f t="shared" si="2036"/>
        <v>CH</v>
      </c>
      <c r="D1918" t="s">
        <v>1935</v>
      </c>
      <c r="E1918" t="str">
        <f t="shared" si="2037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6.322364253624877E-6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8.6516767463423002E-6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9.4783377395211711E-6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8.6017123945438003E-7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7.6906245224390201E-7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7.8087544300310075E-7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7.4347710438566301E-7</v>
      </c>
      <c r="N1918" s="1"/>
    </row>
    <row r="1919" spans="2:14" x14ac:dyDescent="0.35">
      <c r="B1919" s="5" t="str">
        <f t="shared" si="2035"/>
        <v>SPS1</v>
      </c>
      <c r="C1919" s="5" t="str">
        <f t="shared" si="2036"/>
        <v>CH</v>
      </c>
      <c r="D1919" t="s">
        <v>1936</v>
      </c>
      <c r="E1919" t="str">
        <f t="shared" si="2037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5.360266501598452E-5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1.0996576545769841E-4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1.0536679198184083E-4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1.1569499251595018E-6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8.2017962476897631E-7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6.9483843055979303E-7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7.3529469530102397E-7</v>
      </c>
      <c r="N1919" s="1"/>
    </row>
    <row r="1920" spans="2:14" x14ac:dyDescent="0.35">
      <c r="B1920" s="5" t="str">
        <f t="shared" si="2035"/>
        <v>SPS1</v>
      </c>
      <c r="C1920" s="5" t="str">
        <f t="shared" si="2036"/>
        <v>CH</v>
      </c>
      <c r="D1920" t="s">
        <v>1937</v>
      </c>
      <c r="E1920" t="str">
        <f t="shared" si="2037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2.5271464261556499E-6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3.3145254585846899E-6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5.8494962376041008E-7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7.2892830384804588E-7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7.6214263614060911E-7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7.7250856845098498E-7</v>
      </c>
      <c r="N1920" s="1"/>
    </row>
    <row r="1921" spans="2:14" x14ac:dyDescent="0.35">
      <c r="B1921" s="5" t="str">
        <f t="shared" si="2035"/>
        <v>SPS1</v>
      </c>
      <c r="C1921" s="5" t="str">
        <f t="shared" si="2036"/>
        <v>CH</v>
      </c>
      <c r="D1921" t="s">
        <v>1938</v>
      </c>
      <c r="E1921" t="str">
        <f t="shared" si="2037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4.3894452744381113E-2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2.1947286707981423E-2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5"/>
        <v>SPS1</v>
      </c>
      <c r="C1922" s="5" t="str">
        <f t="shared" si="2036"/>
        <v>CH</v>
      </c>
      <c r="D1922" t="s">
        <v>1939</v>
      </c>
      <c r="E1922" t="str">
        <f t="shared" si="2037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5.6689576723698279E-3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6.7594697064640042E-3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6.8190482197558085E-3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5.5819613453370973E-3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5.5342311909196648E-4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6.5953204800166921E-5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5"/>
        <v>SPS1</v>
      </c>
      <c r="C1923" s="5" t="str">
        <f t="shared" si="2036"/>
        <v>CH</v>
      </c>
      <c r="D1923" t="s">
        <v>1940</v>
      </c>
      <c r="E1923" t="str">
        <f t="shared" si="2037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1.722698217764649E-2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3.0380179613817067E-2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0.11651102177626696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0.10018040134555162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5.9140545480282782E-2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7.4596247872521877E-3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5"/>
        <v>SPS1</v>
      </c>
      <c r="C1924" s="5" t="str">
        <f t="shared" si="2036"/>
        <v>CH</v>
      </c>
      <c r="D1924" t="s">
        <v>1941</v>
      </c>
      <c r="E1924" t="str">
        <f t="shared" si="2037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1.424874060708994E-2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0.21281137515412732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0.20112927845143078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0.16195091328555269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5.251035496657358E-2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1.658496808971545E-5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5"/>
        <v>SPS1</v>
      </c>
      <c r="C1925" s="5" t="str">
        <f t="shared" si="2036"/>
        <v>CH</v>
      </c>
      <c r="D1925" t="s">
        <v>1942</v>
      </c>
      <c r="E1925" t="str">
        <f t="shared" si="2037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8.3203454421641593E-3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1.4205452414888842E-2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1.3724814979093641E-2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1.1538533172654082E-2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2.0578731542166767E-3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2.3728692667796019E-5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5"/>
        <v>SPS1</v>
      </c>
      <c r="C1926" s="5" t="str">
        <f t="shared" si="2036"/>
        <v>CH</v>
      </c>
      <c r="D1926" t="s">
        <v>1943</v>
      </c>
      <c r="E1926" t="str">
        <f t="shared" si="2037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1.6628846470820904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0.83144104653576756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5"/>
        <v>SPS1</v>
      </c>
      <c r="C1927" s="5" t="str">
        <f t="shared" si="2036"/>
        <v>CH</v>
      </c>
      <c r="D1927" t="s">
        <v>1944</v>
      </c>
      <c r="E1927" t="str">
        <f t="shared" si="2037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3.6542569846662321E-2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3.9820000265159118E-2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0.12923281873365733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0.10925380316984393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5.7992799965341832E-2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7.6823769220128856E-3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5"/>
        <v>SPS1</v>
      </c>
      <c r="C1928" s="5" t="str">
        <f t="shared" si="2036"/>
        <v>CH</v>
      </c>
      <c r="D1928" t="s">
        <v>1945</v>
      </c>
      <c r="E1928" t="str">
        <f t="shared" si="2037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0.2174302412964304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0.24340693885870404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0.2936581163711352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0.2368059761254562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4.3918917447273186E-2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4.5603131926618048E-3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5"/>
        <v>SPS1</v>
      </c>
      <c r="C1929" s="5" t="str">
        <f t="shared" si="2036"/>
        <v>CH</v>
      </c>
      <c r="D1929" t="s">
        <v>1946</v>
      </c>
      <c r="E1929" t="str">
        <f t="shared" si="2037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0.18201246301132204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0.20369722101428439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0.20294573673982377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0.1649787334489374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3.3609050462000155E-2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3.3049598763576571E-3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5"/>
        <v>SPS1</v>
      </c>
      <c r="C1930" s="5" t="str">
        <f t="shared" si="2036"/>
        <v>CH</v>
      </c>
      <c r="D1930" t="s">
        <v>1947</v>
      </c>
      <c r="E1930" t="str">
        <f t="shared" si="2037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0.1570753673334325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0.17929832524483189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0.32748903969638049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0.27465097330641752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8.0463960582924807E-2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9.6938971986952182E-3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5"/>
        <v>SPS1</v>
      </c>
      <c r="C1931" s="5" t="str">
        <f t="shared" si="2036"/>
        <v>CH</v>
      </c>
      <c r="D1931" t="s">
        <v>1948</v>
      </c>
      <c r="E1931" t="str">
        <f t="shared" si="2037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2.6559585511023601E-5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8.7281756894135902E-5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1.3124158314489599E-4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6.3250822152434707E-5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2.09201172260692E-5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5"/>
        <v>SPS1</v>
      </c>
      <c r="C1932" s="5" t="str">
        <f t="shared" si="2036"/>
        <v>CH</v>
      </c>
      <c r="D1932" t="s">
        <v>1949</v>
      </c>
      <c r="E1932" t="str">
        <f t="shared" si="2037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1.3198151075419899E-5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5.2569247601703698E-5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7.5836781825061204E-5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3.5297449580540498E-5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1.11691188733139E-5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5"/>
        <v>SPS1</v>
      </c>
      <c r="C1933" s="5" t="str">
        <f t="shared" si="2036"/>
        <v>CH</v>
      </c>
      <c r="D1933" t="s">
        <v>1950</v>
      </c>
      <c r="E1933" t="str">
        <f t="shared" si="2037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1.3817041347016001E-5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4.8178404958707401E-5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6.4048981907386502E-5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2.8419732643904E-5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8.2884971227438193E-6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5"/>
        <v>SPS1</v>
      </c>
      <c r="C1934" s="5" t="str">
        <f t="shared" si="2036"/>
        <v>CH</v>
      </c>
      <c r="D1934" t="s">
        <v>1951</v>
      </c>
      <c r="E1934" t="str">
        <f t="shared" si="2037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1.8246366407212701E-5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6.9863049829046507E-5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9.6972698013717497E-5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4.5965373733298701E-5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1.44007660426816E-5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5"/>
        <v>SPS1</v>
      </c>
      <c r="C1935" s="5" t="str">
        <f t="shared" si="2036"/>
        <v>CH</v>
      </c>
      <c r="D1935" t="s">
        <v>1952</v>
      </c>
      <c r="E1935" t="str">
        <f t="shared" si="2037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5"/>
        <v>SPS1</v>
      </c>
      <c r="C1936" s="5" t="str">
        <f t="shared" si="2036"/>
        <v>CH</v>
      </c>
      <c r="D1936" t="s">
        <v>1953</v>
      </c>
      <c r="E1936" t="str">
        <f t="shared" si="2037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3.2565291556518619E-2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3.0893233927945865E-2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2.4917248242069472E-2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8.6406261807447111E-3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4.271388737017232E-5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5"/>
        <v>SPS1</v>
      </c>
      <c r="C1937" s="5" t="str">
        <f t="shared" si="2036"/>
        <v>CH</v>
      </c>
      <c r="D1937" t="s">
        <v>1954</v>
      </c>
      <c r="E1937" t="str">
        <f t="shared" si="2037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2.5978003967956707E-4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0.13593009024125746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0.21961507782297687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0.18335332872788843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9.2575254167043958E-2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7.7272462988434007E-3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35"/>
        <v>SPS1</v>
      </c>
      <c r="C1938" s="5" t="str">
        <f t="shared" si="2036"/>
        <v>CH</v>
      </c>
      <c r="D1938" t="s">
        <v>1955</v>
      </c>
      <c r="E1938" t="str">
        <f t="shared" si="2037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1.8563394649370537E-3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3.7774626148129264E-3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3.6678656118734041E-3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2.9518402331256671E-3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6.7192750975948376E-4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1.3251053594661983E-5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5"/>
        <v>SPS1</v>
      </c>
      <c r="C1939" s="5" t="str">
        <f t="shared" si="2036"/>
        <v>CH</v>
      </c>
      <c r="D1939" t="s">
        <v>1956</v>
      </c>
      <c r="E1939" t="str">
        <f t="shared" si="2037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3.7728291030253084E-3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8.8949536549976678E-3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8.5516116137949617E-3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7.1993037023675389E-3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1.5925788201361804E-3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1.3042205623566752E-5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5"/>
        <v>SPS1</v>
      </c>
      <c r="C1940" s="5" t="str">
        <f t="shared" si="2036"/>
        <v>CH</v>
      </c>
      <c r="D1940" t="s">
        <v>1957</v>
      </c>
      <c r="E1940" t="str">
        <f t="shared" si="2037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0.70637164336405578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0.35318542676378328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5"/>
        <v>SPS1</v>
      </c>
      <c r="C1941" s="5" t="str">
        <f t="shared" si="2036"/>
        <v>CH</v>
      </c>
      <c r="D1941" t="s">
        <v>1958</v>
      </c>
      <c r="E1941" t="str">
        <f t="shared" si="2037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4.4461167529413444E-4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5.366910667934403E-4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6.0876086618126578E-4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4.861628633923807E-4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7.2878268805077334E-5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1.4818654679366538E-5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5"/>
        <v>SPS1</v>
      </c>
      <c r="C1942" s="5" t="str">
        <f t="shared" si="2036"/>
        <v>CH</v>
      </c>
      <c r="D1942" t="s">
        <v>1959</v>
      </c>
      <c r="E1942" t="str">
        <f t="shared" si="2037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6.4569532647551844E-2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6.8530303543272011E-2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6.7956718579526648E-2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5.1544191328037538E-2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1.799236389173037E-3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8.3536145369682063E-6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5"/>
        <v>SPS1</v>
      </c>
      <c r="C1943" s="5" t="str">
        <f t="shared" si="2036"/>
        <v>CH</v>
      </c>
      <c r="D1943" t="s">
        <v>1960</v>
      </c>
      <c r="E1943" t="str">
        <f t="shared" si="2037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0.18324137040584851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0.19501837241691725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0.19301790838116353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0.14998272030037521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5.6372517079850363E-3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6.0971326946270973E-6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5"/>
        <v>SPS1</v>
      </c>
      <c r="C1944" s="5" t="str">
        <f t="shared" si="2036"/>
        <v>CH</v>
      </c>
      <c r="D1944" t="s">
        <v>1961</v>
      </c>
      <c r="E1944" t="str">
        <f t="shared" si="2037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7.1262279595673148E-2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7.9347936171601255E-2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7.8231218194618701E-2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6.1088857192474318E-2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3.3808731093585209E-3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4.5479557518916695E-6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5"/>
        <v>SPS1</v>
      </c>
      <c r="C1945" s="5" t="str">
        <f t="shared" si="2036"/>
        <v>CH</v>
      </c>
      <c r="D1945" t="s">
        <v>1962</v>
      </c>
      <c r="E1945" t="str">
        <f t="shared" si="2037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2.4400156716924899E-5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7.1896278914781601E-5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1.0611378174354399E-4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5.1177534363302598E-5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1.6833831777624899E-5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5"/>
        <v>SPS1</v>
      </c>
      <c r="C1946" s="5" t="str">
        <f t="shared" si="2036"/>
        <v>CH</v>
      </c>
      <c r="D1946" t="s">
        <v>1963</v>
      </c>
      <c r="E1946" t="str">
        <f t="shared" si="2037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1.2266898724989E-5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4.3142784769195701E-5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6.1891929278560197E-5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2.9064511602090199E-5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9.2515667642196795E-6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5"/>
        <v>SPS1</v>
      </c>
      <c r="C1947" s="5" t="str">
        <f t="shared" si="2036"/>
        <v>CH</v>
      </c>
      <c r="D1947" t="s">
        <v>1964</v>
      </c>
      <c r="E1947" t="str">
        <f t="shared" si="2037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1.24706595490853E-5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3.8650403863835398E-5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5.1514202316852001E-5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2.29918048995325E-5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6.8076332817128297E-6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5"/>
        <v>SPS1</v>
      </c>
      <c r="C1948" s="5" t="str">
        <f t="shared" si="2036"/>
        <v>CH</v>
      </c>
      <c r="D1948" t="s">
        <v>1965</v>
      </c>
      <c r="E1948" t="str">
        <f t="shared" si="2037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1.07365246881601E-5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2.9577819710615599E-5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4.0305338186123502E-5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1.7198527657093099E-5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5.15639363249612E-6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5"/>
        <v>SPS1</v>
      </c>
      <c r="C1949" s="5" t="str">
        <f t="shared" si="2036"/>
        <v>CH</v>
      </c>
      <c r="D1949" t="s">
        <v>1966</v>
      </c>
      <c r="E1949" t="str">
        <f t="shared" si="2037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5"/>
        <v>SPS1</v>
      </c>
      <c r="C1950" s="5" t="str">
        <f t="shared" si="2036"/>
        <v>CH</v>
      </c>
      <c r="D1950" t="s">
        <v>1967</v>
      </c>
      <c r="E1950" t="str">
        <f t="shared" si="2037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2.0304845216273409E-4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2.0606664604886558E-4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1.2271381109643767E-5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2.5753745239370005E-6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1.6057751443137798E-7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35"/>
        <v>SPS1</v>
      </c>
      <c r="C1951" s="5" t="str">
        <f t="shared" si="2036"/>
        <v>CH</v>
      </c>
      <c r="D1951" t="s">
        <v>1968</v>
      </c>
      <c r="E1951" t="str">
        <f t="shared" si="2037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2.6902262041879873E-3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2.803376744537448E-3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2.7689672645055206E-3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3.5658238121557238E-6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1.1166554375306872E-6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1.7047030544390002E-7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35"/>
        <v>SPS1</v>
      </c>
      <c r="C1952" s="5" t="str">
        <f t="shared" si="2036"/>
        <v>CH</v>
      </c>
      <c r="D1952" t="s">
        <v>1969</v>
      </c>
      <c r="E1952" t="str">
        <f t="shared" si="2037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1.6165528037968848E-4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1.6315938614903564E-4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1.5171200919116069E-5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3.0577397827657102E-6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1.7312667997268098E-7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35"/>
        <v>SPS1</v>
      </c>
      <c r="C1953" s="5" t="str">
        <f t="shared" si="2036"/>
        <v>CH</v>
      </c>
      <c r="D1953" t="s">
        <v>1970</v>
      </c>
      <c r="E1953" t="str">
        <f t="shared" si="2037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2.5370372967478089E-3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2.3634033005797916E-3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2.2204352908333693E-6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1.056413006607197E-6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1.8710785395445301E-7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5.7278027952445809</v>
      </c>
      <c r="G1954" s="3">
        <f t="shared" ref="G1954:K1954" si="2038">SUM(G1955:G1977)</f>
        <v>5.6855286587393321</v>
      </c>
      <c r="H1954" s="3">
        <f t="shared" si="2038"/>
        <v>5.8321526326854229</v>
      </c>
      <c r="I1954" s="3">
        <f t="shared" si="2038"/>
        <v>6.6981658736926901</v>
      </c>
      <c r="J1954" s="3">
        <f t="shared" si="2038"/>
        <v>7.0189868365780992</v>
      </c>
      <c r="K1954" s="3">
        <f t="shared" si="2038"/>
        <v>7.2468721794739794</v>
      </c>
      <c r="L1954" s="3">
        <f t="shared" ref="L1954" si="2039">SUM(L1955:L1977)</f>
        <v>7.7143589188680384</v>
      </c>
      <c r="N1954" s="1"/>
    </row>
    <row r="1955" spans="2:14" x14ac:dyDescent="0.35">
      <c r="B1955" s="5" t="str">
        <f t="shared" ref="B1955:B1977" si="2040">B1954</f>
        <v>SPS1</v>
      </c>
      <c r="C1955" s="5" t="str">
        <f t="shared" ref="C1955:C1977" si="2041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40"/>
        <v>SPS1</v>
      </c>
      <c r="C1956" s="5" t="str">
        <f t="shared" si="2041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0.25153032514593254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0.2657299791895073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1.9975926102759543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2.6506660795246404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2.8771211549589317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3.0403927853357016</v>
      </c>
      <c r="N1956" s="1"/>
    </row>
    <row r="1957" spans="2:14" x14ac:dyDescent="0.35">
      <c r="B1957" s="5" t="str">
        <f t="shared" si="2040"/>
        <v>SPS1</v>
      </c>
      <c r="C1957" s="5" t="str">
        <f t="shared" si="2041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7.8621284951634236E-3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1.656147200197557E-2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2.8248528107769701E-2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0.74896879553625872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0.79158499414074901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0.81393663716680598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0.87051465240641057</v>
      </c>
      <c r="N1957" s="1"/>
    </row>
    <row r="1958" spans="2:14" x14ac:dyDescent="0.35">
      <c r="B1958" s="5" t="str">
        <f t="shared" si="2040"/>
        <v>SPS1</v>
      </c>
      <c r="C1958" s="5" t="str">
        <f t="shared" si="2041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3.4613667939928816E-2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4.9775978637164119E-2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6.06535781128782E-2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3.5178373095104267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3.4643512306822499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3.5553945313963702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3.8032453966806199</v>
      </c>
      <c r="N1958" s="1"/>
    </row>
    <row r="1959" spans="2:14" x14ac:dyDescent="0.35">
      <c r="B1959" s="5" t="str">
        <f t="shared" si="2040"/>
        <v>SPS1</v>
      </c>
      <c r="C1959" s="5" t="str">
        <f t="shared" si="2041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9.0903929510229172E-4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1.343953399976884E-3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0.43360185191442469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0.11228337794693423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4.2413485109223299E-4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1.9035318116942301E-4</v>
      </c>
      <c r="N1959" s="1"/>
    </row>
    <row r="1960" spans="2:14" x14ac:dyDescent="0.35">
      <c r="B1960" s="5" t="str">
        <f t="shared" si="2040"/>
        <v>SPS1</v>
      </c>
      <c r="C1960" s="5" t="str">
        <f t="shared" si="2041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1.3187212900772799E-5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1.34407697329602E-5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2.3806549852110899E-6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40"/>
        <v>SPS1</v>
      </c>
      <c r="C1961" s="5" t="str">
        <f t="shared" si="2041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40"/>
        <v>SPS1</v>
      </c>
      <c r="C1962" s="5" t="str">
        <f t="shared" si="2041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40"/>
        <v>SPS1</v>
      </c>
      <c r="C1963" s="5" t="str">
        <f t="shared" si="2041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40"/>
        <v>SPS1</v>
      </c>
      <c r="C1964" s="5" t="str">
        <f t="shared" si="2041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0.37689203488428202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0.37943443740847899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6.3548373069842456E-6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1.3663307687276033E-5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2.9144677982799233E-8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2.1838987558766802E-6</v>
      </c>
      <c r="N1964" s="1"/>
    </row>
    <row r="1965" spans="2:14" x14ac:dyDescent="0.35">
      <c r="B1965" s="5" t="str">
        <f t="shared" si="2040"/>
        <v>SPS1</v>
      </c>
      <c r="C1965" s="5" t="str">
        <f t="shared" si="2041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1.8537143008271798E-3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2.8340617161449299E-3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1.2044636301354023E-5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2.1816861414129699E-6</v>
      </c>
      <c r="N1965" s="1"/>
    </row>
    <row r="1966" spans="2:14" x14ac:dyDescent="0.35">
      <c r="B1966" s="5" t="str">
        <f t="shared" si="2040"/>
        <v>SPS1</v>
      </c>
      <c r="C1966" s="5" t="str">
        <f t="shared" si="2041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1.93253617236618E-3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2.5854734536901601E-3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</v>
      </c>
      <c r="N1966" s="1"/>
    </row>
    <row r="1967" spans="2:14" x14ac:dyDescent="0.35">
      <c r="B1967" s="5" t="str">
        <f t="shared" si="2040"/>
        <v>SPS1</v>
      </c>
      <c r="C1967" s="5" t="str">
        <f t="shared" si="2041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4.9571384571585599E-5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9.3469703320181699E-5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40"/>
        <v>SPS1</v>
      </c>
      <c r="C1968" s="5" t="str">
        <f t="shared" si="2041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2.2838309629891906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40"/>
        <v>SPS1</v>
      </c>
      <c r="C1969" s="5" t="str">
        <f t="shared" si="2041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2.6368570500661236E-2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0.53825258354614736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1.2254365921830768E-4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1.3456376222987457E-5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-5.2126866179059993E-7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2.1745501657278599E-6</v>
      </c>
      <c r="N1969" s="1"/>
    </row>
    <row r="1970" spans="2:14" x14ac:dyDescent="0.35">
      <c r="B1970" s="5" t="str">
        <f t="shared" si="2040"/>
        <v>SPS1</v>
      </c>
      <c r="C1970" s="5" t="str">
        <f t="shared" si="2041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0.18450046946968118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0.22113628841927771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0.39601614641965488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2.0324054555002934E-5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3.8473879490086398E-6</v>
      </c>
      <c r="N1970" s="1"/>
    </row>
    <row r="1971" spans="2:14" x14ac:dyDescent="0.35">
      <c r="B1971" s="5" t="str">
        <f t="shared" si="2040"/>
        <v>SPS1</v>
      </c>
      <c r="C1971" s="5" t="str">
        <f t="shared" si="2041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0.80668606785224028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0.98420079013045514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1.777325671370906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40"/>
        <v>SPS1</v>
      </c>
      <c r="C1972" s="5" t="str">
        <f t="shared" si="2041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3.7810593502240388E-3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3.9467148829610042E-4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4.3766806031276081E-4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40"/>
        <v>SPS1</v>
      </c>
      <c r="C1973" s="5" t="str">
        <f t="shared" si="2041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40"/>
        <v>SPS1</v>
      </c>
      <c r="C1974" s="5" t="str">
        <f t="shared" si="2041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1.3747147245805199E-3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2.3013296223020701E-3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1.4082759580560015E-5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1.3336805287998974E-5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-4.6460442248839964E-7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2.3472707505976698E-6</v>
      </c>
      <c r="N1974" s="1"/>
    </row>
    <row r="1975" spans="2:14" x14ac:dyDescent="0.35">
      <c r="B1975" s="5" t="str">
        <f t="shared" si="2040"/>
        <v>SPS1</v>
      </c>
      <c r="C1975" s="5" t="str">
        <f t="shared" si="2041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6.7583577167395906E-4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1.95360784483042E-3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6.3913290853600064E-6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1.4888333738628014E-5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-5.7028257990178012E-6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2.9964703749781498E-6</v>
      </c>
      <c r="N1975" s="1"/>
    </row>
    <row r="1976" spans="2:14" x14ac:dyDescent="0.35">
      <c r="B1976" s="5" t="str">
        <f t="shared" si="2040"/>
        <v>SPS1</v>
      </c>
      <c r="C1976" s="5" t="str">
        <f t="shared" si="2041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4.7820663077699906E-4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3.03452941892219E-2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1.7885621205992173E-6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40"/>
        <v>SPS1</v>
      </c>
      <c r="C1977" s="5" t="str">
        <f t="shared" si="2041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3.3969820000565604E-5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8.3409182734271806E-5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9.5809541243639737E-7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2.8512916227255407</v>
      </c>
      <c r="G1978" s="3">
        <f t="shared" ref="G1978" si="2042">SUM(G1979:G2001)</f>
        <v>3.0781529526055471</v>
      </c>
      <c r="H1978" s="3">
        <f t="shared" ref="H1978" si="2043">SUM(H1979:H2001)</f>
        <v>2.8903654030156698</v>
      </c>
      <c r="I1978" s="3">
        <f t="shared" ref="I1978" si="2044">SUM(I1979:I2001)</f>
        <v>2.9275337250237956</v>
      </c>
      <c r="J1978" s="3">
        <f t="shared" ref="J1978" si="2045">SUM(J1979:J2001)</f>
        <v>2.92747289062057</v>
      </c>
      <c r="K1978" s="3">
        <f t="shared" ref="K1978:L1978" si="2046">SUM(K1979:K2001)</f>
        <v>2.9276461294954665</v>
      </c>
      <c r="L1978" s="3">
        <f t="shared" si="2046"/>
        <v>2.9276582080688063</v>
      </c>
      <c r="N1978" s="1"/>
    </row>
    <row r="1979" spans="2:14" x14ac:dyDescent="0.35">
      <c r="B1979" s="5" t="str">
        <f t="shared" ref="B1979:B2001" si="2047">B1978</f>
        <v>SPS1</v>
      </c>
      <c r="C1979" s="5" t="str">
        <f t="shared" ref="C1979:C2001" si="2048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7"/>
        <v>SPS1</v>
      </c>
      <c r="C1980" s="5" t="str">
        <f t="shared" si="2048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4.7360855792818964E-2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5.5210136913939618E-2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1.4117754138540526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1.4099489059824197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1.4093335990055369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1.4495996260788011</v>
      </c>
      <c r="N1980" s="1"/>
    </row>
    <row r="1981" spans="2:14" x14ac:dyDescent="0.35">
      <c r="B1981" s="5" t="str">
        <f t="shared" si="2047"/>
        <v>SPS1</v>
      </c>
      <c r="C1981" s="5" t="str">
        <f t="shared" si="2048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1.0867992459459901E-2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2.3292688887419342E-2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2.5249082886989242E-2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1.2475108330941589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1.249651571718319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1.2502782889425992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1.21734313577189</v>
      </c>
      <c r="N1981" s="1"/>
    </row>
    <row r="1982" spans="2:14" x14ac:dyDescent="0.35">
      <c r="B1982" s="5" t="str">
        <f t="shared" si="2047"/>
        <v>SPS1</v>
      </c>
      <c r="C1982" s="5" t="str">
        <f t="shared" si="2048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1.6896170828846673E-3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2.8087012276532992E-3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3.5432732035671805E-3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0.26793450860086865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0.26757880699919212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0.267426949274013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0.26038671479466197</v>
      </c>
      <c r="N1982" s="1"/>
    </row>
    <row r="1983" spans="2:14" x14ac:dyDescent="0.35">
      <c r="B1983" s="5" t="str">
        <f t="shared" si="2047"/>
        <v>SPS1</v>
      </c>
      <c r="C1983" s="5" t="str">
        <f t="shared" si="2048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2.5083869375730901E-4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4.5994919613192198E-4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2.2906696816438397E-4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1.9595299359031102E-4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4.4075486461495604E-4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2.02514203893526E-4</v>
      </c>
      <c r="N1983" s="1"/>
    </row>
    <row r="1984" spans="2:14" x14ac:dyDescent="0.35">
      <c r="B1984" s="5" t="str">
        <f t="shared" si="2047"/>
        <v>SPS1</v>
      </c>
      <c r="C1984" s="5" t="str">
        <f t="shared" si="2048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7"/>
        <v>SPS1</v>
      </c>
      <c r="C1985" s="5" t="str">
        <f t="shared" si="2048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7"/>
        <v>SPS1</v>
      </c>
      <c r="C1986" s="5" t="str">
        <f t="shared" si="2048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1.0093669582164599E-5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8.514709369573119E-6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7"/>
        <v>SPS1</v>
      </c>
      <c r="C1987" s="5" t="str">
        <f t="shared" si="2048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7"/>
        <v>SPS1</v>
      </c>
      <c r="C1988" s="5" t="str">
        <f t="shared" si="2048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2.4369462773738002E-2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2.6584001150741818E-2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1.0198654431498819E-5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3.0201400919901008E-5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3.5824660146988196E-5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2.31595295937025E-5</v>
      </c>
      <c r="N1988" s="1"/>
    </row>
    <row r="1989" spans="2:14" x14ac:dyDescent="0.35">
      <c r="B1989" s="5" t="str">
        <f t="shared" si="2047"/>
        <v>SPS1</v>
      </c>
      <c r="C1989" s="5" t="str">
        <f t="shared" si="2048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8.8588983863240392E-4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1.62597227469091E-3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1.0369348149409965E-5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1.9706490758260012E-6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1.8081636090260802E-5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1.8458211743946499E-5</v>
      </c>
      <c r="N1989" s="1"/>
    </row>
    <row r="1990" spans="2:14" x14ac:dyDescent="0.35">
      <c r="B1990" s="5" t="str">
        <f t="shared" si="2047"/>
        <v>SPS1</v>
      </c>
      <c r="C1990" s="5" t="str">
        <f t="shared" si="2048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3.9264983924227698E-4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6.9165701707359008E-4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3.6575498801192002E-5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9.9505681675326511E-6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47"/>
        <v>SPS1</v>
      </c>
      <c r="C1991" s="5" t="str">
        <f t="shared" si="2048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7.55761675194845E-5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1.4558384540994899E-4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8.9894855917718927E-6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47"/>
        <v>SPS1</v>
      </c>
      <c r="C1992" s="5" t="str">
        <f t="shared" si="2048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0.65160517519927053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7"/>
        <v>SPS1</v>
      </c>
      <c r="C1993" s="5" t="str">
        <f t="shared" si="2048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0.79316365545011558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0.98700771038230428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2.8168575394102446E-5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4.4359297181390702E-5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2.7935822711750101E-5</v>
      </c>
      <c r="N1993" s="1"/>
    </row>
    <row r="1994" spans="2:14" x14ac:dyDescent="0.35">
      <c r="B1994" s="5" t="str">
        <f t="shared" si="2047"/>
        <v>SPS1</v>
      </c>
      <c r="C1994" s="5" t="str">
        <f t="shared" si="2048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0.91840764085696514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0.92018756238486721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2.8027699311344798E-5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2.3497682702656199E-5</v>
      </c>
      <c r="N1994" s="1"/>
    </row>
    <row r="1995" spans="2:14" x14ac:dyDescent="0.35">
      <c r="B1995" s="5" t="str">
        <f t="shared" si="2047"/>
        <v>SPS1</v>
      </c>
      <c r="C1995" s="5" t="str">
        <f t="shared" si="2048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0.1960639011939504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0.19773346914568379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0.19825633416667268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7"/>
        <v>SPS1</v>
      </c>
      <c r="C1996" s="5" t="str">
        <f t="shared" si="2048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1.2606411476465705E-2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5.3419476028706571E-4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6.0013044187527242E-4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7"/>
        <v>SPS1</v>
      </c>
      <c r="C1997" s="5" t="str">
        <f t="shared" si="2048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7"/>
        <v>SPS1</v>
      </c>
      <c r="C1998" s="5" t="str">
        <f t="shared" si="2048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1.6172626663415199E-3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2.3980867826280958E-3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2.6668291575399177E-6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1.8847024121953994E-5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2.7262418014093694E-5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1.7983740648141701E-5</v>
      </c>
      <c r="N1998" s="1"/>
    </row>
    <row r="1999" spans="2:14" x14ac:dyDescent="0.35">
      <c r="B1999" s="5" t="str">
        <f t="shared" si="2047"/>
        <v>SPS1</v>
      </c>
      <c r="C1999" s="5" t="str">
        <f t="shared" si="2048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4.9855334854726201E-4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1.1424332609102199E-3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3.9055053262008978E-7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0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1.2981697958308601E-5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1.5182232159263901E-5</v>
      </c>
      <c r="N1999" s="1"/>
    </row>
    <row r="2000" spans="2:14" x14ac:dyDescent="0.35">
      <c r="B2000" s="5" t="str">
        <f t="shared" si="2047"/>
        <v>SPS1</v>
      </c>
      <c r="C2000" s="5" t="str">
        <f t="shared" si="2048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2.7166156158866996E-4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6.6534969574027201E-4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4.4617151963360456E-6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47"/>
        <v>SPS1</v>
      </c>
      <c r="C2001" s="5" t="str">
        <f t="shared" si="2048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5.52373388538742E-5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1.31567908955377E-4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1.5675510762010596E-7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399.8658618629276</v>
      </c>
      <c r="G2002" s="3">
        <f t="shared" ref="G2002:K2002" si="2049">SUM(G2003:G2011)</f>
        <v>399.40247930000862</v>
      </c>
      <c r="H2002" s="3">
        <f t="shared" si="2049"/>
        <v>406.75678005844384</v>
      </c>
      <c r="I2002" s="3">
        <f t="shared" si="2049"/>
        <v>419.01937380899881</v>
      </c>
      <c r="J2002" s="3">
        <f t="shared" si="2049"/>
        <v>442.58637824283954</v>
      </c>
      <c r="K2002" s="3">
        <f t="shared" si="2049"/>
        <v>470.6583481107786</v>
      </c>
      <c r="L2002" s="3">
        <f t="shared" ref="L2002" si="2050">SUM(L2003:L2011)</f>
        <v>536.85927981310238</v>
      </c>
      <c r="N2002" s="1"/>
    </row>
    <row r="2003" spans="2:14" x14ac:dyDescent="0.35">
      <c r="B2003" s="5" t="str">
        <f t="shared" ref="B2003:B2011" si="2051">B2002</f>
        <v>SPS1</v>
      </c>
      <c r="C2003" s="5" t="str">
        <f t="shared" ref="C2003:C2011" si="2052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1"/>
        <v>SPS1</v>
      </c>
      <c r="C2004" s="5" t="str">
        <f t="shared" si="2052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1.6989449380065598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3.7737309206117597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5.6108219391743512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80.65227593278037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316.96519929699991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470.64807992062185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536.85898539063089</v>
      </c>
      <c r="N2004" s="1"/>
    </row>
    <row r="2005" spans="2:14" x14ac:dyDescent="0.35">
      <c r="B2005" s="5" t="str">
        <f t="shared" si="2051"/>
        <v>SPS1</v>
      </c>
      <c r="C2005" s="5" t="str">
        <f t="shared" si="2052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3.7003010781813499E-3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3.2451184932180997E-4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3.0910318554507597E-4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2.8886834663082903E-4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2.9442247148756299E-4</v>
      </c>
      <c r="N2005" s="1"/>
    </row>
    <row r="2006" spans="2:14" x14ac:dyDescent="0.35">
      <c r="B2006" s="5" t="str">
        <f t="shared" si="2051"/>
        <v>SPS1</v>
      </c>
      <c r="C2006" s="5" t="str">
        <f t="shared" si="2052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30.634653922429315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1"/>
        <v>SPS1</v>
      </c>
      <c r="C2007" s="5" t="str">
        <f t="shared" si="2052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12.43491200582617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14.210790580750903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26.594798656400343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47.659776975424819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33.852839584814376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3.0799172257003557E-3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51"/>
        <v>SPS1</v>
      </c>
      <c r="C2008" s="5" t="str">
        <f t="shared" si="2052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152.66194656186406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1"/>
        <v>SPS1</v>
      </c>
      <c r="C2009" s="5" t="str">
        <f t="shared" si="2052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106.16882536508757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125.1844078892882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125.29215381866697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71.049604217015386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8.7390195059913467E-2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3.0960872065323003E-3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51"/>
        <v>SPS1</v>
      </c>
      <c r="C2010" s="5" t="str">
        <f t="shared" si="2052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62.553989400174423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127.35616438330929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91.679580143610167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3.650890456199235E-3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51"/>
        <v>SPS1</v>
      </c>
      <c r="C2011" s="5" t="str">
        <f t="shared" si="2052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2.668179554007339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2.5196114386204251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2.1047154586561989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2.894455286300932E-3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1.0599191695932779E-3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1.5242692172604401E-4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41.459848159102243</v>
      </c>
      <c r="G2012" s="3">
        <f t="shared" ref="G2012" si="2053">SUM(G2013:G2021)</f>
        <v>43.007433458768496</v>
      </c>
      <c r="H2012" s="3">
        <f t="shared" ref="H2012" si="2054">SUM(H2013:H2021)</f>
        <v>43.461568034013958</v>
      </c>
      <c r="I2012" s="3">
        <f t="shared" ref="I2012" si="2055">SUM(I2013:I2021)</f>
        <v>45.301751305871456</v>
      </c>
      <c r="J2012" s="3">
        <f t="shared" ref="J2012" si="2056">SUM(J2013:J2021)</f>
        <v>47.23181647152812</v>
      </c>
      <c r="K2012" s="3">
        <f t="shared" ref="K2012:L2012" si="2057">SUM(K2013:K2021)</f>
        <v>49.162214256914012</v>
      </c>
      <c r="L2012" s="3">
        <f t="shared" si="2057"/>
        <v>53.032944707167879</v>
      </c>
      <c r="N2012" s="1"/>
    </row>
    <row r="2013" spans="2:14" x14ac:dyDescent="0.35">
      <c r="B2013" s="5" t="str">
        <f t="shared" ref="B2013:B2021" si="2058">B2012</f>
        <v>SPS1</v>
      </c>
      <c r="C2013" s="5" t="str">
        <f t="shared" ref="C2013:C2021" si="2059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8"/>
        <v>SPS1</v>
      </c>
      <c r="C2014" s="5" t="str">
        <f t="shared" si="2059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0.13019529614406788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0.13142282966333479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3.9921815548717099E-2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8.3509454376035599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15.593742626178701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50.978108364940304</v>
      </c>
      <c r="N2014" s="1"/>
    </row>
    <row r="2015" spans="2:14" x14ac:dyDescent="0.35">
      <c r="B2015" s="5" t="str">
        <f t="shared" si="2058"/>
        <v>SPS1</v>
      </c>
      <c r="C2015" s="5" t="str">
        <f t="shared" si="2059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1.0846470841178671E-2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4.6881941589635989E-3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4.7888138475343364E-3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3.2151998507222164E-4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3.0912685331248296E-4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2.9644837843826151E-4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2.81207217434878E-4</v>
      </c>
      <c r="N2015" s="1"/>
    </row>
    <row r="2016" spans="2:14" x14ac:dyDescent="0.35">
      <c r="B2016" s="5" t="str">
        <f t="shared" si="2058"/>
        <v>SPS1</v>
      </c>
      <c r="C2016" s="5" t="str">
        <f t="shared" si="2059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8"/>
        <v>SPS1</v>
      </c>
      <c r="C2017" s="5" t="str">
        <f t="shared" si="2059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8"/>
        <v>SPS1</v>
      </c>
      <c r="C2018" s="5" t="str">
        <f t="shared" si="2059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8"/>
        <v>SPS1</v>
      </c>
      <c r="C2019" s="5" t="str">
        <f t="shared" si="2059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11.613012226727189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10.744261196919094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9.7037316132753872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0.98566422862898762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1.67313992518924E-3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2.0155290560351399E-3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2.1437876186994001E-4</v>
      </c>
      <c r="N2019" s="1"/>
    </row>
    <row r="2020" spans="2:14" x14ac:dyDescent="0.35">
      <c r="B2020" s="5" t="str">
        <f t="shared" si="2058"/>
        <v>SPS1</v>
      </c>
      <c r="C2020" s="5" t="str">
        <f t="shared" si="2059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13.823816739641099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34.3653656069066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38.863763692388602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33.551031908334402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2.0531140890657</v>
      </c>
      <c r="N2020" s="1"/>
    </row>
    <row r="2021" spans="2:14" x14ac:dyDescent="0.35">
      <c r="B2021" s="5" t="str">
        <f t="shared" si="2058"/>
        <v>SPS1</v>
      </c>
      <c r="C2021" s="5" t="str">
        <f t="shared" si="2059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0.1219894615338703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2.3136413198293605E-2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2.3141370919904432E-2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2.3144801468754181E-2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1.5125074757459301E-2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1.512774496643832E-2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1.2266671825743999E-3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60">SUM(F2023,F2027,F2030)</f>
        <v>3.4586691996665701E-4</v>
      </c>
      <c r="G2022" s="3">
        <f t="shared" ref="G2022" si="2061">SUM(G2023,G2027,G2030)</f>
        <v>3.8680922479996977E-4</v>
      </c>
      <c r="H2022" s="3">
        <f t="shared" ref="H2022" si="2062">SUM(H2023,H2027,H2030)</f>
        <v>3.9406889784402013E-4</v>
      </c>
      <c r="I2022" s="3">
        <f t="shared" ref="I2022" si="2063">SUM(I2023,I2027,I2030)</f>
        <v>1.2146082324044655E-2</v>
      </c>
      <c r="J2022" s="3">
        <f t="shared" ref="J2022" si="2064">SUM(J2023,J2027,J2030)</f>
        <v>0.26145770480648517</v>
      </c>
      <c r="K2022" s="3">
        <f t="shared" ref="K2022:L2022" si="2065">SUM(K2023,K2027,K2030)</f>
        <v>0.62260154366882048</v>
      </c>
      <c r="L2022" s="3">
        <f t="shared" si="2065"/>
        <v>0.84829564807725022</v>
      </c>
      <c r="N2022" s="1"/>
    </row>
    <row r="2023" spans="2:14" x14ac:dyDescent="0.35">
      <c r="B2023" s="5" t="str">
        <f t="shared" ref="B2023:B2032" si="2066">B2022</f>
        <v>SPS1</v>
      </c>
      <c r="C2023" s="5" t="str">
        <f t="shared" ref="C2023:C2032" si="206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3.4586691996665701E-4</v>
      </c>
      <c r="G2023" s="1" cm="1">
        <f t="array" ref="G2023">SUMPRODUCT(ISNUMBER(SEARCH("SUP_ELCH2*",[1]OUT_SyntheticFuels!$C$4:$C$1000))*1,("Var_cap"=[1]OUT_SyntheticFuels!$B$4:$B$1000)*1,[1]OUT_SyntheticFuels!F$4:F$1000)</f>
        <v>3.8680922479996977E-4</v>
      </c>
      <c r="H2023" s="1" cm="1">
        <f t="array" ref="H2023">SUMPRODUCT(ISNUMBER(SEARCH("SUP_ELCH2*",[1]OUT_SyntheticFuels!$C$4:$C$1000))*1,("Var_cap"=[1]OUT_SyntheticFuels!$B$4:$B$1000)*1,[1]OUT_SyntheticFuels!G$4:G$1000)</f>
        <v>3.9406889784402013E-4</v>
      </c>
      <c r="I2023" s="1" cm="1">
        <f t="array" ref="I2023">SUMPRODUCT(ISNUMBER(SEARCH("SUP_ELCH2*",[1]OUT_SyntheticFuels!$C$4:$C$1000))*1,("Var_cap"=[1]OUT_SyntheticFuels!$B$4:$B$1000)*1,[1]OUT_SyntheticFuels!H$4:H$1000)</f>
        <v>1.2145472938951535E-2</v>
      </c>
      <c r="J2023" s="1" cm="1">
        <f t="array" ref="J2023">SUMPRODUCT(ISNUMBER(SEARCH("SUP_ELCH2*",[2]OUT_SyntheticFuels!$C$4:$C$1000))*1,("Var_cap"=[2]OUT_SyntheticFuels!$B$4:$B$1000)*1,[2]OUT_SyntheticFuels!I$4:I$1000)</f>
        <v>0.26145694231906813</v>
      </c>
      <c r="K2023" s="1" cm="1">
        <f t="array" ref="K2023">SUMPRODUCT(ISNUMBER(SEARCH("SUP_ELCH2*",[2]OUT_SyntheticFuels!$C$4:$C$1000))*1,("Var_cap"=[2]OUT_SyntheticFuels!$B$4:$B$1000)*1,[2]OUT_SyntheticFuels!J$4:J$1000)</f>
        <v>0.62260016273337337</v>
      </c>
      <c r="L2023" s="1" cm="1">
        <f t="array" ref="L2023">SUMPRODUCT(ISNUMBER(SEARCH("SUP_ELCH2*",[2]OUT_SyntheticFuels!$C$4:$C$1000))*1,("Var_cap"=[2]OUT_SyntheticFuels!$B$4:$B$1000)*1,[2]OUT_SyntheticFuels!K$4:K$1000)</f>
        <v>0.84818160987603552</v>
      </c>
      <c r="N2023" s="1"/>
    </row>
    <row r="2024" spans="2:14" x14ac:dyDescent="0.35">
      <c r="B2024" s="5" t="str">
        <f t="shared" si="2066"/>
        <v>SPS1</v>
      </c>
      <c r="C2024" s="5" t="str">
        <f t="shared" si="2067"/>
        <v>CH</v>
      </c>
      <c r="D2024" t="s">
        <v>2145</v>
      </c>
      <c r="E2024" t="s">
        <v>2154</v>
      </c>
      <c r="F2024" s="1">
        <f t="shared" ref="F2024" si="2068">F2023-F2025-F2026</f>
        <v>3.4586691996665701E-4</v>
      </c>
      <c r="G2024" s="1">
        <f t="shared" ref="G2024" si="2069">G2023-G2025-G2026</f>
        <v>3.8680922479996977E-4</v>
      </c>
      <c r="H2024" s="1">
        <f t="shared" ref="H2024" si="2070">H2023-H2025-H2026</f>
        <v>3.9406889784402013E-4</v>
      </c>
      <c r="I2024" s="1">
        <f t="shared" ref="I2024" si="2071">I2023-I2025-I2026</f>
        <v>1.2137397308549217E-2</v>
      </c>
      <c r="J2024" s="1">
        <f t="shared" ref="J2024" si="2072">J2023-J2025-J2026</f>
        <v>0.2614441234893064</v>
      </c>
      <c r="K2024" s="1">
        <f t="shared" ref="K2024:L2024" si="2073">K2023-K2025-K2026</f>
        <v>0.40602248278983544</v>
      </c>
      <c r="L2024" s="1">
        <f t="shared" si="2073"/>
        <v>0.68499754411535185</v>
      </c>
      <c r="N2024" s="1"/>
    </row>
    <row r="2025" spans="2:14" x14ac:dyDescent="0.35">
      <c r="B2025" s="5" t="str">
        <f t="shared" si="2066"/>
        <v>SPS1</v>
      </c>
      <c r="C2025" s="5" t="str">
        <f t="shared" si="206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8.0756304023186896E-6</v>
      </c>
      <c r="J2025" s="1" cm="1">
        <f t="array" ref="J2025">SUMPRODUCT(ISNUMBER(SEARCH("SUP_ELCH2*D",[2]OUT_SyntheticFuels!$C$4:$C$1000))*1,("Var_cap"=[2]OUT_SyntheticFuels!$B$4:$B$1000)*1,[2]OUT_SyntheticFuels!I$4:I$1000)</f>
        <v>1.2818829761744E-5</v>
      </c>
      <c r="K2025" s="1" cm="1">
        <f t="array" ref="K2025">SUMPRODUCT(ISNUMBER(SEARCH("SUP_ELCH2*D",[2]OUT_SyntheticFuels!$C$4:$C$1000))*1,("Var_cap"=[2]OUT_SyntheticFuels!$B$4:$B$1000)*1,[2]OUT_SyntheticFuels!J$4:J$1000)</f>
        <v>0.12437869692656101</v>
      </c>
      <c r="L2025" s="1" cm="1">
        <f t="array" ref="L2025">SUMPRODUCT(ISNUMBER(SEARCH("SUP_ELCH2*D",[2]OUT_SyntheticFuels!$C$4:$C$1000))*1,("Var_cap"=[2]OUT_SyntheticFuels!$B$4:$B$1000)*1,[2]OUT_SyntheticFuels!K$4:K$1000)</f>
        <v>0.131600209842754</v>
      </c>
      <c r="N2025" s="1"/>
    </row>
    <row r="2026" spans="2:14" x14ac:dyDescent="0.35">
      <c r="B2026" s="5" t="str">
        <f t="shared" si="2066"/>
        <v>SPS1</v>
      </c>
      <c r="C2026" s="5" t="str">
        <f t="shared" si="206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9.2198983016976904E-2</v>
      </c>
      <c r="L2026" s="1" cm="1">
        <f t="array" ref="L2026">SUMPRODUCT(ISNUMBER(SEARCH("SUP_ELCH2*SOEC*",[2]OUT_SyntheticFuels!$C$4:$C$1000))*1,("Var_cap"=[2]OUT_SyntheticFuels!$B$4:$B$1000)*1,[2]OUT_SyntheticFuels!K$4:K$1000)</f>
        <v>3.1583855917929719E-2</v>
      </c>
      <c r="N2026" s="1"/>
    </row>
    <row r="2027" spans="2:14" x14ac:dyDescent="0.35">
      <c r="B2027" s="5" t="str">
        <f t="shared" si="2066"/>
        <v>SPS1</v>
      </c>
      <c r="C2027" s="5" t="str">
        <f t="shared" si="2067"/>
        <v>CH</v>
      </c>
      <c r="D2027" t="s">
        <v>2148</v>
      </c>
      <c r="E2027" t="s">
        <v>2154</v>
      </c>
      <c r="F2027" s="1">
        <f t="shared" ref="F2027" si="2074">SUM(F2028:F2029)</f>
        <v>0</v>
      </c>
      <c r="G2027" s="1">
        <f t="shared" ref="G2027" si="2075">SUM(G2028:G2029)</f>
        <v>0</v>
      </c>
      <c r="H2027" s="1">
        <f t="shared" ref="H2027" si="2076">SUM(H2028:H2029)</f>
        <v>0</v>
      </c>
      <c r="I2027" s="1">
        <f t="shared" ref="I2027" si="2077">SUM(I2028:I2029)</f>
        <v>6.0938509311960398E-7</v>
      </c>
      <c r="J2027" s="1">
        <f t="shared" ref="J2027" si="2078">SUM(J2028:J2029)</f>
        <v>7.6248741701468193E-7</v>
      </c>
      <c r="K2027" s="1">
        <f t="shared" ref="K2027:L2027" si="2079">SUM(K2028:K2029)</f>
        <v>1.3809354470577661E-6</v>
      </c>
      <c r="L2027" s="1">
        <f t="shared" si="2079"/>
        <v>1.1403820121464054E-4</v>
      </c>
      <c r="N2027" s="1"/>
    </row>
    <row r="2028" spans="2:14" x14ac:dyDescent="0.35">
      <c r="B2028" s="5" t="str">
        <f t="shared" si="2066"/>
        <v>SPS1</v>
      </c>
      <c r="C2028" s="5" t="str">
        <f t="shared" si="206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6.0938509311960398E-7</v>
      </c>
      <c r="J2028" s="1" cm="1">
        <f t="array" ref="J2028">SUMPRODUCT(ISNUMBER(SEARCH("SUP_NGAH2",[2]OUT_SyntheticFuels!$C$4:$C$1000))*1,("Var_cap"=[2]OUT_SyntheticFuels!$B$4:$B$1000)*1,[2]OUT_SyntheticFuels!I$4:I$1000)-J2029</f>
        <v>7.6248741701468193E-7</v>
      </c>
      <c r="K2028" s="1" cm="1">
        <f t="array" ref="K2028">SUMPRODUCT(ISNUMBER(SEARCH("SUP_NGAH2",[2]OUT_SyntheticFuels!$C$4:$C$1000))*1,("Var_cap"=[2]OUT_SyntheticFuels!$B$4:$B$1000)*1,[2]OUT_SyntheticFuels!J$4:J$1000)-K2029</f>
        <v>1.0390554426376001E-6</v>
      </c>
      <c r="L2028" s="1" cm="1">
        <f t="array" ref="L2028">SUMPRODUCT(ISNUMBER(SEARCH("SUP_NGAH2",[2]OUT_SyntheticFuels!$C$4:$C$1000))*1,("Var_cap"=[2]OUT_SyntheticFuels!$B$4:$B$1000)*1,[2]OUT_SyntheticFuels!K$4:K$1000)-L2029</f>
        <v>7.2750283242295632E-5</v>
      </c>
      <c r="N2028" s="1"/>
    </row>
    <row r="2029" spans="2:14" x14ac:dyDescent="0.35">
      <c r="B2029" s="5" t="str">
        <f t="shared" si="2066"/>
        <v>SPS1</v>
      </c>
      <c r="C2029" s="5" t="str">
        <f t="shared" si="206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3.4188000442016598E-7</v>
      </c>
      <c r="L2029" s="1" cm="1">
        <f t="array" ref="L2029">SUMPRODUCT(ISNUMBER(SEARCH("SUP_NGAH2CCS",[2]OUT_SyntheticFuels!$C$4:$C$1000))*1,("Var_cap"=[2]OUT_SyntheticFuels!$B$4:$B$1000)*1,[2]OUT_SyntheticFuels!K$4:K$1000)</f>
        <v>4.1287917972344907E-5</v>
      </c>
      <c r="N2029" s="1"/>
    </row>
    <row r="2030" spans="2:14" x14ac:dyDescent="0.35">
      <c r="B2030" s="5" t="str">
        <f t="shared" si="2066"/>
        <v>SPS1</v>
      </c>
      <c r="C2030" s="5" t="str">
        <f t="shared" si="2067"/>
        <v>CH</v>
      </c>
      <c r="D2030" t="s">
        <v>2151</v>
      </c>
      <c r="E2030" t="s">
        <v>2154</v>
      </c>
      <c r="F2030" s="1">
        <f t="shared" ref="F2030" si="2080">SUM(F2031:F2032)</f>
        <v>0</v>
      </c>
      <c r="G2030" s="1">
        <f t="shared" ref="G2030" si="2081">SUM(G2031:G2032)</f>
        <v>0</v>
      </c>
      <c r="H2030" s="1">
        <f t="shared" ref="H2030" si="2082">SUM(H2031:H2032)</f>
        <v>0</v>
      </c>
      <c r="I2030" s="1">
        <f t="shared" ref="I2030" si="2083">SUM(I2031:I2032)</f>
        <v>0</v>
      </c>
      <c r="J2030" s="1">
        <f t="shared" ref="J2030" si="2084">SUM(J2031:J2032)</f>
        <v>0</v>
      </c>
      <c r="K2030" s="1">
        <f t="shared" ref="K2030:L2030" si="2085">SUM(K2031:K2032)</f>
        <v>0</v>
      </c>
      <c r="L2030" s="1">
        <f t="shared" si="2085"/>
        <v>0</v>
      </c>
      <c r="N2030" s="1"/>
    </row>
    <row r="2031" spans="2:14" x14ac:dyDescent="0.35">
      <c r="B2031" s="5" t="str">
        <f t="shared" si="2066"/>
        <v>SPS1</v>
      </c>
      <c r="C2031" s="5" t="str">
        <f t="shared" si="206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6"/>
        <v>SPS1</v>
      </c>
      <c r="C2032" s="5" t="str">
        <f t="shared" si="206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6">B2033</f>
        <v>SPS1</v>
      </c>
      <c r="C2034" s="5" t="str">
        <f t="shared" ref="C2034:C2049" si="2087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3.4113391902011764E-2</v>
      </c>
      <c r="G2034" s="7" cm="1">
        <f t="array" ref="G2034">SUMPRODUCT(("CT_CWODBDS"=[1]OUT_SyntheticFuels!$C$4:$C$1000)*1,("Var_cap"=[1]OUT_SyntheticFuels!$B$4:$B$1000)*1,[1]OUT_SyntheticFuels!F$4:F$1000)</f>
        <v>3.3052906183228023E-2</v>
      </c>
      <c r="H2034" s="7" cm="1">
        <f t="array" ref="H2034">SUMPRODUCT(("CT_CWODBDS"=[1]OUT_SyntheticFuels!$C$4:$C$1000)*1,("Var_cap"=[1]OUT_SyntheticFuels!$B$4:$B$1000)*1,[1]OUT_SyntheticFuels!G$4:G$1000)</f>
        <v>3.3050368697991737E-2</v>
      </c>
      <c r="I2034" s="7" cm="1">
        <f t="array" ref="I2034">SUMPRODUCT(("CT_CWODBDS"=[1]OUT_SyntheticFuels!$C$4:$C$1000)*1,("Var_cap"=[1]OUT_SyntheticFuels!$B$4:$B$1000)*1,[1]OUT_SyntheticFuels!H$4:H$1000)</f>
        <v>5.341989957807769E-5</v>
      </c>
      <c r="J2034" s="7" cm="1">
        <f t="array" ref="J2034">SUMPRODUCT(("CT_CWODBDS"=[2]OUT_SyntheticFuels!$C$4:$C$1000)*1,("Var_cap"=[2]OUT_SyntheticFuels!$B$4:$B$1000)*1,[2]OUT_SyntheticFuels!I$4:I$1000)</f>
        <v>1.9139095041594001E-5</v>
      </c>
      <c r="K2034" s="7" cm="1">
        <f t="array" ref="K2034">SUMPRODUCT(("CT_CWODBDS"=[2]OUT_SyntheticFuels!$C$4:$C$1000)*1,("Var_cap"=[2]OUT_SyntheticFuels!$B$4:$B$1000)*1,[2]OUT_SyntheticFuels!J$4:J$1000)</f>
        <v>1.6953376811648732E-5</v>
      </c>
      <c r="L2034" s="7" cm="1">
        <f t="array" ref="L2034">SUMPRODUCT(("CT_CWODBDS"=[2]OUT_SyntheticFuels!$C$4:$C$1000)*1,("Var_cap"=[2]OUT_SyntheticFuels!$B$4:$B$1000)*1,[2]OUT_SyntheticFuels!K$4:K$1000)</f>
        <v>6.6033224232516799E-2</v>
      </c>
      <c r="N2034" s="1"/>
    </row>
    <row r="2035" spans="2:14" x14ac:dyDescent="0.35">
      <c r="B2035" s="5" t="str">
        <f t="shared" si="2086"/>
        <v>SPS1</v>
      </c>
      <c r="C2035" s="5" t="str">
        <f t="shared" si="2087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6"/>
        <v>SPS1</v>
      </c>
      <c r="C2036" s="5" t="str">
        <f t="shared" si="2087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7.7675957854763892E-3</v>
      </c>
      <c r="G2036" s="7" cm="1">
        <f t="array" ref="G2036">SUMPRODUCT(("CT_CWODETH"=[1]OUT_SyntheticFuels!$C$4:$C$1000)*1,("Var_cap"=[1]OUT_SyntheticFuels!$B$4:$B$1000)*1,[1]OUT_SyntheticFuels!F$4:F$1000)</f>
        <v>7.767624819298412E-3</v>
      </c>
      <c r="H2036" s="7" cm="1">
        <f t="array" ref="H2036">SUMPRODUCT(("CT_CWODETH"=[1]OUT_SyntheticFuels!$C$4:$C$1000)*1,("Var_cap"=[1]OUT_SyntheticFuels!$B$4:$B$1000)*1,[1]OUT_SyntheticFuels!G$4:G$1000)</f>
        <v>7.7679725938150611E-3</v>
      </c>
      <c r="I2036" s="7" cm="1">
        <f t="array" ref="I2036">SUMPRODUCT(("CT_CWODETH"=[1]OUT_SyntheticFuels!$C$4:$C$1000)*1,("Var_cap"=[1]OUT_SyntheticFuels!$B$4:$B$1000)*1,[1]OUT_SyntheticFuels!H$4:H$1000)</f>
        <v>4.1179089442279666E-5</v>
      </c>
      <c r="J2036" s="7" cm="1">
        <f t="array" ref="J2036">SUMPRODUCT(("CT_CWODETH"=[2]OUT_SyntheticFuels!$C$4:$C$1000)*1,("Var_cap"=[2]OUT_SyntheticFuels!$B$4:$B$1000)*1,[2]OUT_SyntheticFuels!I$4:I$1000)</f>
        <v>2.3766553263760044E-5</v>
      </c>
      <c r="K2036" s="7" cm="1">
        <f t="array" ref="K2036">SUMPRODUCT(("CT_CWODETH"=[2]OUT_SyntheticFuels!$C$4:$C$1000)*1,("Var_cap"=[2]OUT_SyntheticFuels!$B$4:$B$1000)*1,[2]OUT_SyntheticFuels!J$4:J$1000)</f>
        <v>1.2985334803480159E-5</v>
      </c>
      <c r="L2036" s="7" cm="1">
        <f t="array" ref="L2036">SUMPRODUCT(("CT_CWODETH"=[2]OUT_SyntheticFuels!$C$4:$C$1000)*1,("Var_cap"=[2]OUT_SyntheticFuels!$B$4:$B$1000)*1,[2]OUT_SyntheticFuels!K$4:K$1000)</f>
        <v>2.4440795248829302E-4</v>
      </c>
      <c r="N2036" s="1"/>
    </row>
    <row r="2037" spans="2:14" x14ac:dyDescent="0.35">
      <c r="B2037" s="5" t="str">
        <f t="shared" si="2086"/>
        <v>SPS1</v>
      </c>
      <c r="C2037" s="5" t="str">
        <f t="shared" si="2087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6"/>
        <v>SPS1</v>
      </c>
      <c r="C2038" s="5" t="str">
        <f t="shared" si="2087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5.0834873146953299E-2</v>
      </c>
      <c r="G2038" s="7" cm="1">
        <f t="array" ref="G2038">SUMPRODUCT(("SUP_MNRBIO"=[1]OUT_SyntheticFuels!$C$4:$C$1000)*1,("Var_cap"=[1]OUT_SyntheticFuels!$B$4:$B$1000)*1,[1]OUT_SyntheticFuels!F$4:F$1000)</f>
        <v>0.13084902169784707</v>
      </c>
      <c r="H2038" s="7" cm="1">
        <f t="array" ref="H2038">SUMPRODUCT(("SUP_MNRBIO"=[1]OUT_SyntheticFuels!$C$4:$C$1000)*1,("Var_cap"=[1]OUT_SyntheticFuels!$B$4:$B$1000)*1,[1]OUT_SyntheticFuels!G$4:G$1000)</f>
        <v>0.16239731818457936</v>
      </c>
      <c r="I2038" s="7" cm="1">
        <f t="array" ref="I2038">SUMPRODUCT(("SUP_MNRBIO"=[1]OUT_SyntheticFuels!$C$4:$C$1000)*1,("Var_cap"=[1]OUT_SyntheticFuels!$B$4:$B$1000)*1,[1]OUT_SyntheticFuels!H$4:H$1000)</f>
        <v>0.1624005164357141</v>
      </c>
      <c r="J2038" s="7" cm="1">
        <f t="array" ref="J2038">SUMPRODUCT(("SUP_MNRBIO"=[2]OUT_SyntheticFuels!$C$4:$C$1000)*1,("Var_cap"=[2]OUT_SyntheticFuels!$B$4:$B$1000)*1,[2]OUT_SyntheticFuels!I$4:I$1000)</f>
        <v>0.16240233099803142</v>
      </c>
      <c r="K2038" s="7" cm="1">
        <f t="array" ref="K2038">SUMPRODUCT(("SUP_MNRBIO"=[2]OUT_SyntheticFuels!$C$4:$C$1000)*1,("Var_cap"=[2]OUT_SyntheticFuels!$B$4:$B$1000)*1,[2]OUT_SyntheticFuels!J$4:J$1000)</f>
        <v>0.18950257361132863</v>
      </c>
      <c r="L2038" s="7" cm="1">
        <f t="array" ref="L2038">SUMPRODUCT(("SUP_MNRBIO"=[2]OUT_SyntheticFuels!$C$4:$C$1000)*1,("Var_cap"=[2]OUT_SyntheticFuels!$B$4:$B$1000)*1,[2]OUT_SyntheticFuels!K$4:K$1000)</f>
        <v>0.3472822767672657</v>
      </c>
      <c r="N2038" s="1"/>
    </row>
    <row r="2039" spans="2:14" x14ac:dyDescent="0.35">
      <c r="B2039" s="5" t="str">
        <f t="shared" si="2086"/>
        <v>SPS1</v>
      </c>
      <c r="C2039" s="5" t="str">
        <f t="shared" si="2087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0.21266870170259214</v>
      </c>
      <c r="G2039" s="7" cm="1">
        <f t="array" ref="G2039">SUMPRODUCT(("SUP_WSTBIO"=[1]OUT_SyntheticFuels!$C$4:$C$1000)*1,("Var_cap"=[1]OUT_SyntheticFuels!$B$4:$B$1000)*1,[1]OUT_SyntheticFuels!F$4:F$1000)</f>
        <v>0.22248807978175195</v>
      </c>
      <c r="H2039" s="7" cm="1">
        <f t="array" ref="H2039">SUMPRODUCT(("SUP_WSTBIO"=[1]OUT_SyntheticFuels!$C$4:$C$1000)*1,("Var_cap"=[1]OUT_SyntheticFuels!$B$4:$B$1000)*1,[1]OUT_SyntheticFuels!G$4:G$1000)</f>
        <v>0.22248564500559193</v>
      </c>
      <c r="I2039" s="7" cm="1">
        <f t="array" ref="I2039">SUMPRODUCT(("SUP_WSTBIO"=[1]OUT_SyntheticFuels!$C$4:$C$1000)*1,("Var_cap"=[1]OUT_SyntheticFuels!$B$4:$B$1000)*1,[1]OUT_SyntheticFuels!H$4:H$1000)</f>
        <v>0.26146531726100281</v>
      </c>
      <c r="J2039" s="7" cm="1">
        <f t="array" ref="J2039">SUMPRODUCT(("SUP_WSTBIO"=[2]OUT_SyntheticFuels!$C$4:$C$1000)*1,("Var_cap"=[2]OUT_SyntheticFuels!$B$4:$B$1000)*1,[2]OUT_SyntheticFuels!I$4:I$1000)</f>
        <v>0.29244710378717664</v>
      </c>
      <c r="K2039" s="7" cm="1">
        <f t="array" ref="K2039">SUMPRODUCT(("SUP_WSTBIO"=[2]OUT_SyntheticFuels!$C$4:$C$1000)*1,("Var_cap"=[2]OUT_SyntheticFuels!$B$4:$B$1000)*1,[2]OUT_SyntheticFuels!J$4:J$1000)</f>
        <v>0.281001251074387</v>
      </c>
      <c r="L2039" s="7" cm="1">
        <f t="array" ref="L2039">SUMPRODUCT(("SUP_WSTBIO"=[2]OUT_SyntheticFuels!$C$4:$C$1000)*1,("Var_cap"=[2]OUT_SyntheticFuels!$B$4:$B$1000)*1,[2]OUT_SyntheticFuels!K$4:K$1000)</f>
        <v>0.27422247877578793</v>
      </c>
      <c r="N2039" s="1"/>
    </row>
    <row r="2040" spans="2:14" x14ac:dyDescent="0.35">
      <c r="B2040" s="5" t="str">
        <f t="shared" si="2086"/>
        <v>SPS1</v>
      </c>
      <c r="C2040" s="5" t="str">
        <f t="shared" si="2087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6"/>
        <v>SPS1</v>
      </c>
      <c r="C2041" s="5" t="str">
        <f t="shared" si="2087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1.3830784490760699E-5</v>
      </c>
      <c r="L2041" s="7" cm="1">
        <f t="array" ref="L2041">SUMPRODUCT(("SUP_WSTHTGBIO"=[2]OUT_SyntheticFuels!$C$4:$C$1000)*1,("Var_cap"=[2]OUT_SyntheticFuels!$B$4:$B$1000)*1,[2]OUT_SyntheticFuels!K$4:K$1000)</f>
        <v>1.3871088530255287E-5</v>
      </c>
      <c r="N2041" s="1"/>
    </row>
    <row r="2042" spans="2:14" x14ac:dyDescent="0.35">
      <c r="B2042" s="5" t="str">
        <f t="shared" si="2086"/>
        <v>SPS1</v>
      </c>
      <c r="C2042" s="5" t="str">
        <f t="shared" si="2087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6"/>
        <v>SPS1</v>
      </c>
      <c r="C2043" s="5" t="str">
        <f t="shared" si="2087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9.41865396550269E-7</v>
      </c>
      <c r="G2043" s="7" cm="1">
        <f t="array" ref="G2043">SUMPRODUCT(("SUP_WODBIO"=[1]OUT_SyntheticFuels!$C$4:$C$1000)*1,("Var_cap"=[1]OUT_SyntheticFuels!$B$4:$B$1000)*1,[1]OUT_SyntheticFuels!F$4:F$1000)</f>
        <v>3.4010566917500996E-5</v>
      </c>
      <c r="H2043" s="7" cm="1">
        <f t="array" ref="H2043">SUMPRODUCT(("SUP_WODBIO"=[1]OUT_SyntheticFuels!$C$4:$C$1000)*1,("Var_cap"=[1]OUT_SyntheticFuels!$B$4:$B$1000)*1,[1]OUT_SyntheticFuels!G$4:G$1000)</f>
        <v>3.5073398072838189E-5</v>
      </c>
      <c r="I2043" s="7" cm="1">
        <f t="array" ref="I2043">SUMPRODUCT(("SUP_WODBIO"=[1]OUT_SyntheticFuels!$C$4:$C$1000)*1,("Var_cap"=[1]OUT_SyntheticFuels!$B$4:$B$1000)*1,[1]OUT_SyntheticFuels!H$4:H$1000)</f>
        <v>3.5667738582657391E-5</v>
      </c>
      <c r="J2043" s="7" cm="1">
        <f t="array" ref="J2043">SUMPRODUCT(("SUP_WODBIO"=[2]OUT_SyntheticFuels!$C$4:$C$1000)*1,("Var_cap"=[2]OUT_SyntheticFuels!$B$4:$B$1000)*1,[2]OUT_SyntheticFuels!I$4:I$1000)</f>
        <v>3.3494661295516273E-5</v>
      </c>
      <c r="K2043" s="7" cm="1">
        <f t="array" ref="K2043">SUMPRODUCT(("SUP_WODBIO"=[2]OUT_SyntheticFuels!$C$4:$C$1000)*1,("Var_cap"=[2]OUT_SyntheticFuels!$B$4:$B$1000)*1,[2]OUT_SyntheticFuels!J$4:J$1000)</f>
        <v>2.9001048179585269E-5</v>
      </c>
      <c r="L2043" s="7" cm="1">
        <f t="array" ref="L2043">SUMPRODUCT(("SUP_WODBIO"=[2]OUT_SyntheticFuels!$C$4:$C$1000)*1,("Var_cap"=[2]OUT_SyntheticFuels!$B$4:$B$1000)*1,[2]OUT_SyntheticFuels!K$4:K$1000)</f>
        <v>2.2400859998283916E-5</v>
      </c>
      <c r="N2043" s="1"/>
    </row>
    <row r="2044" spans="2:14" x14ac:dyDescent="0.35">
      <c r="B2044" s="5" t="str">
        <f t="shared" si="2086"/>
        <v>SPS1</v>
      </c>
      <c r="C2044" s="5" t="str">
        <f t="shared" si="2087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6"/>
        <v>SPS1</v>
      </c>
      <c r="C2045" s="5" t="str">
        <f t="shared" si="2087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4.233142191414254E-2</v>
      </c>
      <c r="G2045" s="7" cm="1">
        <f t="array" ref="G2045">SUMPRODUCT(("SUP_BIONGA"=[1]OUT_SyntheticFuels!$C$4:$C$1000)*1,("Var_cap"=[1]OUT_SyntheticFuels!$B$4:$B$1000)*1,[1]OUT_SyntheticFuels!F$4:F$1000)</f>
        <v>0.10794557371584232</v>
      </c>
      <c r="H2045" s="7" cm="1">
        <f t="array" ref="H2045">SUMPRODUCT(("SUP_BIONGA"=[1]OUT_SyntheticFuels!$C$4:$C$1000)*1,("Var_cap"=[1]OUT_SyntheticFuels!$B$4:$B$1000)*1,[1]OUT_SyntheticFuels!G$4:G$1000)</f>
        <v>8.084285941184291E-2</v>
      </c>
      <c r="I2045" s="7" cm="1">
        <f t="array" ref="I2045">SUMPRODUCT(("SUP_BIONGA"=[1]OUT_SyntheticFuels!$C$4:$C$1000)*1,("Var_cap"=[1]OUT_SyntheticFuels!$B$4:$B$1000)*1,[1]OUT_SyntheticFuels!H$4:H$1000)</f>
        <v>8.0795421817684093E-2</v>
      </c>
      <c r="J2045" s="7" cm="1">
        <f t="array" ref="J2045">SUMPRODUCT(("SUP_BIONGA"=[2]OUT_SyntheticFuels!$C$4:$C$1000)*1,("Var_cap"=[2]OUT_SyntheticFuels!$B$4:$B$1000)*1,[2]OUT_SyntheticFuels!I$4:I$1000)</f>
        <v>9.0204437723105574E-2</v>
      </c>
      <c r="K2045" s="7" cm="1">
        <f t="array" ref="K2045">SUMPRODUCT(("SUP_BIONGA"=[2]OUT_SyntheticFuels!$C$4:$C$1000)*1,("Var_cap"=[2]OUT_SyntheticFuels!$B$4:$B$1000)*1,[2]OUT_SyntheticFuels!J$4:J$1000)</f>
        <v>9.201164336915707E-2</v>
      </c>
      <c r="L2045" s="7" cm="1">
        <f t="array" ref="L2045">SUMPRODUCT(("SUP_BIONGA"=[2]OUT_SyntheticFuels!$C$4:$C$1000)*1,("Var_cap"=[2]OUT_SyntheticFuels!$B$4:$B$1000)*1,[2]OUT_SyntheticFuels!K$4:K$1000)</f>
        <v>0.10371353592059307</v>
      </c>
      <c r="N2045" s="1"/>
    </row>
    <row r="2046" spans="2:14" x14ac:dyDescent="0.35">
      <c r="B2046" s="5" t="str">
        <f t="shared" si="2086"/>
        <v>SPS1</v>
      </c>
      <c r="C2046" s="5" t="str">
        <f t="shared" si="2087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0.35574629577187861</v>
      </c>
      <c r="G2046" s="7" cm="1">
        <f t="array" ref="G2046">SUMPRODUCT(("CT_CWODPLT"=[1]OUT_SyntheticFuels!$C$4:$C$1000)*1,("Var_cap"=[1]OUT_SyntheticFuels!$B$4:$B$1000)*1,[1]OUT_SyntheticFuels!F$4:F$1000)</f>
        <v>0.41004818672337268</v>
      </c>
      <c r="H2046" s="7" cm="1">
        <f t="array" ref="H2046">SUMPRODUCT(("CT_CWODPLT"=[1]OUT_SyntheticFuels!$C$4:$C$1000)*1,("Var_cap"=[1]OUT_SyntheticFuels!$B$4:$B$1000)*1,[1]OUT_SyntheticFuels!G$4:G$1000)</f>
        <v>0.28216924390172393</v>
      </c>
      <c r="I2046" s="7" cm="1">
        <f t="array" ref="I2046">SUMPRODUCT(("CT_CWODPLT"=[1]OUT_SyntheticFuels!$C$4:$C$1000)*1,("Var_cap"=[1]OUT_SyntheticFuels!$B$4:$B$1000)*1,[1]OUT_SyntheticFuels!H$4:H$1000)</f>
        <v>0.28215931378834302</v>
      </c>
      <c r="J2046" s="7" cm="1">
        <f t="array" ref="J2046">SUMPRODUCT(("CT_CWODPLT"=[2]OUT_SyntheticFuels!$C$4:$C$1000)*1,("Var_cap"=[2]OUT_SyntheticFuels!$B$4:$B$1000)*1,[2]OUT_SyntheticFuels!I$4:I$1000)</f>
        <v>0.29799051250138581</v>
      </c>
      <c r="K2046" s="7" cm="1">
        <f t="array" ref="K2046">SUMPRODUCT(("CT_CWODPLT"=[2]OUT_SyntheticFuels!$C$4:$C$1000)*1,("Var_cap"=[2]OUT_SyntheticFuels!$B$4:$B$1000)*1,[2]OUT_SyntheticFuels!J$4:J$1000)</f>
        <v>0.3081117210103278</v>
      </c>
      <c r="L2046" s="7" cm="1">
        <f t="array" ref="L2046">SUMPRODUCT(("CT_CWODPLT"=[2]OUT_SyntheticFuels!$C$4:$C$1000)*1,("Var_cap"=[2]OUT_SyntheticFuels!$B$4:$B$1000)*1,[2]OUT_SyntheticFuels!K$4:K$1000)</f>
        <v>0.28765510401300676</v>
      </c>
      <c r="N2046" s="1"/>
    </row>
    <row r="2047" spans="2:14" x14ac:dyDescent="0.35">
      <c r="B2047" s="5" t="str">
        <f t="shared" si="2086"/>
        <v>SPS1</v>
      </c>
      <c r="C2047" s="5" t="str">
        <f t="shared" si="2087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1.0129135918055001E-6</v>
      </c>
      <c r="J2047" s="7" cm="1">
        <f t="array" ref="J2047">SUMPRODUCT(("SUP_H2NGA"=[2]OUT_SyntheticFuels!$C$4:$C$1000)*1,("Var_cap"=[2]OUT_SyntheticFuels!$B$4:$B$1000)*1,[2]OUT_SyntheticFuels!I$4:I$1000)</f>
        <v>1.6237284240607428E-6</v>
      </c>
      <c r="K2047" s="7" cm="1">
        <f t="array" ref="K2047">SUMPRODUCT(("SUP_H2NGA"=[2]OUT_SyntheticFuels!$C$4:$C$1000)*1,("Var_cap"=[2]OUT_SyntheticFuels!$B$4:$B$1000)*1,[2]OUT_SyntheticFuels!J$4:J$1000)</f>
        <v>9.0518644965006888E-5</v>
      </c>
      <c r="L2047" s="7" cm="1">
        <f t="array" ref="L2047">SUMPRODUCT(("SUP_H2NGA"=[2]OUT_SyntheticFuels!$C$4:$C$1000)*1,("Var_cap"=[2]OUT_SyntheticFuels!$B$4:$B$1000)*1,[2]OUT_SyntheticFuels!K$4:K$1000)</f>
        <v>5.0373342303010424E-4</v>
      </c>
      <c r="N2047" s="1"/>
    </row>
    <row r="2048" spans="2:14" x14ac:dyDescent="0.35">
      <c r="B2048" s="5" t="str">
        <f t="shared" si="2086"/>
        <v>SPS1</v>
      </c>
      <c r="C2048" s="5" t="str">
        <f t="shared" si="2087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1.54686362820378E-6</v>
      </c>
      <c r="J2048" s="7" cm="1">
        <f t="array" ref="J2048">SUMPRODUCT(("SUP_H2DSL"=[2]OUT_SyntheticFuels!$C$4:$C$1000)*1,("Var_cap"=[2]OUT_SyntheticFuels!$B$4:$B$1000)*1,[2]OUT_SyntheticFuels!I$4:I$1000)</f>
        <v>2.6358116945277292E-6</v>
      </c>
      <c r="K2048" s="7" cm="1">
        <f t="array" ref="K2048">SUMPRODUCT(("SUP_H2DSL"=[2]OUT_SyntheticFuels!$C$4:$C$1000)*1,("Var_cap"=[2]OUT_SyntheticFuels!$B$4:$B$1000)*1,[2]OUT_SyntheticFuels!J$4:J$1000)</f>
        <v>3.9703009732030837E-4</v>
      </c>
      <c r="L2048" s="7" cm="1">
        <f t="array" ref="L2048">SUMPRODUCT(("SUP_H2DSL"=[2]OUT_SyntheticFuels!$C$4:$C$1000)*1,("Var_cap"=[2]OUT_SyntheticFuels!$B$4:$B$1000)*1,[2]OUT_SyntheticFuels!K$4:K$1000)</f>
        <v>9.1988032658704613E-3</v>
      </c>
      <c r="N2048" s="1"/>
    </row>
    <row r="2049" spans="2:14" x14ac:dyDescent="0.35">
      <c r="B2049" s="5" t="str">
        <f t="shared" si="2086"/>
        <v>SPS1</v>
      </c>
      <c r="C2049" s="5" t="str">
        <f t="shared" si="2087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1.5206468832743999E-6</v>
      </c>
      <c r="J2049" s="7" cm="1">
        <f t="array" ref="J2049">SUMPRODUCT(("SUP_H2GSL"=[2]OUT_SyntheticFuels!$C$4:$C$1000)*1,("Var_cap"=[2]OUT_SyntheticFuels!$B$4:$B$1000)*1,[2]OUT_SyntheticFuels!I$4:I$1000)</f>
        <v>2.435989506612478E-6</v>
      </c>
      <c r="K2049" s="7" cm="1">
        <f t="array" ref="K2049">SUMPRODUCT(("SUP_H2GSL"=[2]OUT_SyntheticFuels!$C$4:$C$1000)*1,("Var_cap"=[2]OUT_SyntheticFuels!$B$4:$B$1000)*1,[2]OUT_SyntheticFuels!J$4:J$1000)</f>
        <v>2.8330680167877874E-4</v>
      </c>
      <c r="L2049" s="7" cm="1">
        <f t="array" ref="L2049">SUMPRODUCT(("SUP_H2GSL"=[2]OUT_SyntheticFuels!$C$4:$C$1000)*1,("Var_cap"=[2]OUT_SyntheticFuels!$B$4:$B$1000)*1,[2]OUT_SyntheticFuels!K$4:K$1000)</f>
        <v>9.1826659089585452E-3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8">SUM(F2051,F2053,F2057,F2061,F2077,F2084,F2092,F2094,F2102,F2106,F2100)</f>
        <v>5.5006913507686973E-3</v>
      </c>
      <c r="G2050" s="3">
        <f t="shared" si="2088"/>
        <v>0.10631640622705982</v>
      </c>
      <c r="H2050" s="3">
        <f t="shared" si="2088"/>
        <v>5.338190537012979</v>
      </c>
      <c r="I2050" s="3">
        <f t="shared" si="2088"/>
        <v>6.5170535056187084</v>
      </c>
      <c r="J2050" s="3">
        <f t="shared" si="2088"/>
        <v>2.6981785737987471</v>
      </c>
      <c r="K2050" s="3">
        <f t="shared" si="2088"/>
        <v>5.3680333834814595</v>
      </c>
      <c r="L2050" s="3">
        <f t="shared" ref="L2050" si="2089">SUM(L2051,L2053,L2057,L2061,L2077,L2084,L2092,L2094,L2102,L2106,L2100)</f>
        <v>21.00553671830777</v>
      </c>
      <c r="N2050" s="1"/>
    </row>
    <row r="2051" spans="2:14" x14ac:dyDescent="0.35">
      <c r="B2051" s="5" t="str">
        <f>B2050</f>
        <v>SPS1</v>
      </c>
      <c r="C2051" s="5" t="str">
        <f t="shared" ref="C2051:C2113" si="2090">C2050</f>
        <v>CH</v>
      </c>
      <c r="D2051" t="s">
        <v>2180</v>
      </c>
      <c r="E2051" t="str">
        <f t="shared" ref="E2051:E2082" si="2091">E2050</f>
        <v>GWe/yr.</v>
      </c>
      <c r="F2051" s="1">
        <f t="shared" ref="F2051:L2051" si="2092">+F2052</f>
        <v>0</v>
      </c>
      <c r="G2051" s="1">
        <f t="shared" si="2092"/>
        <v>0</v>
      </c>
      <c r="H2051" s="1">
        <f t="shared" si="2092"/>
        <v>0</v>
      </c>
      <c r="I2051" s="1">
        <f t="shared" si="2092"/>
        <v>0</v>
      </c>
      <c r="J2051" s="1">
        <f t="shared" si="2092"/>
        <v>0</v>
      </c>
      <c r="K2051" s="1">
        <f t="shared" si="2092"/>
        <v>1.4859431010806485</v>
      </c>
      <c r="L2051" s="1">
        <f t="shared" si="2092"/>
        <v>6.6203887744205892</v>
      </c>
      <c r="N2051" s="1"/>
    </row>
    <row r="2052" spans="2:14" x14ac:dyDescent="0.35">
      <c r="B2052" s="5" t="str">
        <f t="shared" ref="B2052:B2113" si="2093">B2051</f>
        <v>SPS1</v>
      </c>
      <c r="C2052" s="5" t="str">
        <f t="shared" si="2090"/>
        <v>CH</v>
      </c>
      <c r="D2052" t="s">
        <v>2181</v>
      </c>
      <c r="E2052" t="str">
        <f t="shared" si="2091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1.4859431010806485</v>
      </c>
      <c r="L2052" s="1">
        <f>'[2]Electricity and CHPs_NCAP'!H$14</f>
        <v>6.6203887744205892</v>
      </c>
      <c r="N2052" s="1"/>
    </row>
    <row r="2053" spans="2:14" x14ac:dyDescent="0.35">
      <c r="B2053" s="5" t="str">
        <f t="shared" si="2093"/>
        <v>SPS1</v>
      </c>
      <c r="C2053" s="5" t="str">
        <f t="shared" si="2090"/>
        <v>CH</v>
      </c>
      <c r="D2053" t="s">
        <v>2182</v>
      </c>
      <c r="E2053" t="str">
        <f t="shared" si="2091"/>
        <v>GWe/yr.</v>
      </c>
      <c r="F2053" s="1">
        <f t="shared" ref="F2053:K2053" si="2094">SUM(F2054:F2056)</f>
        <v>0</v>
      </c>
      <c r="G2053" s="1">
        <f t="shared" si="2094"/>
        <v>3.7017572808714367E-3</v>
      </c>
      <c r="H2053" s="1">
        <f t="shared" si="2094"/>
        <v>5.4846139962276538E-2</v>
      </c>
      <c r="I2053" s="1">
        <f t="shared" si="2094"/>
        <v>0.2367533889686303</v>
      </c>
      <c r="J2053" s="1">
        <f t="shared" si="2094"/>
        <v>3.6565196107832872E-3</v>
      </c>
      <c r="K2053" s="1">
        <f t="shared" si="2094"/>
        <v>7.4781958913482295E-7</v>
      </c>
      <c r="L2053" s="1">
        <f t="shared" ref="L2053" si="2095">SUM(L2054:L2056)</f>
        <v>1.0776541507038018</v>
      </c>
      <c r="N2053" s="1"/>
    </row>
    <row r="2054" spans="2:14" x14ac:dyDescent="0.35">
      <c r="B2054" s="5" t="str">
        <f t="shared" si="2093"/>
        <v>SPS1</v>
      </c>
      <c r="C2054" s="5" t="str">
        <f t="shared" si="2090"/>
        <v>CH</v>
      </c>
      <c r="D2054" t="s">
        <v>2183</v>
      </c>
      <c r="E2054" t="str">
        <f t="shared" si="2091"/>
        <v>GWe/yr.</v>
      </c>
      <c r="F2054" s="1">
        <f>'[1]Electricity and CHPs_NCAP'!B$15</f>
        <v>0</v>
      </c>
      <c r="G2054" s="1">
        <f>'[1]Electricity and CHPs_NCAP'!C$15</f>
        <v>2.8140897367560048E-3</v>
      </c>
      <c r="H2054" s="1">
        <f>'[1]Electricity and CHPs_NCAP'!D$15</f>
        <v>4.5401618180151232E-2</v>
      </c>
      <c r="I2054" s="1">
        <f>'[1]Electricity and CHPs_NCAP'!E$15</f>
        <v>0.23541818355363703</v>
      </c>
      <c r="J2054" s="1">
        <f>'[2]Electricity and CHPs_NCAP'!F$15</f>
        <v>2.0603476234294081E-7</v>
      </c>
      <c r="K2054" s="1">
        <f>'[2]Electricity and CHPs_NCAP'!G$15</f>
        <v>4.2882391946392098E-7</v>
      </c>
      <c r="L2054" s="1">
        <f>'[2]Electricity and CHPs_NCAP'!H$15</f>
        <v>1.0776529379669622</v>
      </c>
      <c r="N2054" s="1"/>
    </row>
    <row r="2055" spans="2:14" x14ac:dyDescent="0.35">
      <c r="B2055" s="5" t="str">
        <f t="shared" si="2093"/>
        <v>SPS1</v>
      </c>
      <c r="C2055" s="5" t="str">
        <f t="shared" si="2090"/>
        <v>CH</v>
      </c>
      <c r="D2055" t="s">
        <v>2184</v>
      </c>
      <c r="E2055" t="str">
        <f t="shared" si="2091"/>
        <v>GWe/yr.</v>
      </c>
      <c r="F2055" s="1">
        <f>'[1]Electricity and CHPs_NCAP'!B$16</f>
        <v>0</v>
      </c>
      <c r="G2055" s="1">
        <f>'[1]Electricity and CHPs_NCAP'!C$16</f>
        <v>6.0788264472295766E-4</v>
      </c>
      <c r="H2055" s="1">
        <f>'[1]Electricity and CHPs_NCAP'!D$16</f>
        <v>9.4443006539714977E-3</v>
      </c>
      <c r="I2055" s="1">
        <f>'[1]Electricity and CHPs_NCAP'!E$16</f>
        <v>1.3349711759144539E-3</v>
      </c>
      <c r="J2055" s="1">
        <f>'[2]Electricity and CHPs_NCAP'!F$16</f>
        <v>3.6562719445294911E-3</v>
      </c>
      <c r="K2055" s="1">
        <f>'[2]Electricity and CHPs_NCAP'!G$16</f>
        <v>2.35200221785179E-7</v>
      </c>
      <c r="L2055" s="1">
        <f>'[2]Electricity and CHPs_NCAP'!H$16</f>
        <v>8.1107578913217452E-7</v>
      </c>
      <c r="N2055" s="1"/>
    </row>
    <row r="2056" spans="2:14" x14ac:dyDescent="0.35">
      <c r="B2056" s="5" t="str">
        <f t="shared" si="2093"/>
        <v>SPS1</v>
      </c>
      <c r="C2056" s="5" t="str">
        <f t="shared" si="2090"/>
        <v>CH</v>
      </c>
      <c r="D2056" t="s">
        <v>2185</v>
      </c>
      <c r="E2056" t="str">
        <f t="shared" si="2091"/>
        <v>GWe/yr.</v>
      </c>
      <c r="F2056" s="1">
        <f>'[1]Electricity and CHPs_NCAP'!B$17</f>
        <v>0</v>
      </c>
      <c r="G2056" s="1">
        <f>'[1]Electricity and CHPs_NCAP'!C$17</f>
        <v>2.7978489939247401E-4</v>
      </c>
      <c r="H2056" s="1">
        <f>'[1]Electricity and CHPs_NCAP'!D$17</f>
        <v>2.2112815381042301E-7</v>
      </c>
      <c r="I2056" s="1">
        <f>'[1]Electricity and CHPs_NCAP'!E$17</f>
        <v>2.3423907880873499E-7</v>
      </c>
      <c r="J2056" s="1">
        <f>'[2]Electricity and CHPs_NCAP'!F$17</f>
        <v>4.1631491453266598E-8</v>
      </c>
      <c r="K2056" s="1">
        <f>'[2]Electricity and CHPs_NCAP'!G$17</f>
        <v>8.3795447885722895E-8</v>
      </c>
      <c r="L2056" s="1">
        <f>'[2]Electricity and CHPs_NCAP'!H$17</f>
        <v>4.01661050501781E-7</v>
      </c>
      <c r="N2056" s="1"/>
    </row>
    <row r="2057" spans="2:14" x14ac:dyDescent="0.35">
      <c r="B2057" s="5" t="str">
        <f t="shared" si="2093"/>
        <v>SPS1</v>
      </c>
      <c r="C2057" s="5" t="str">
        <f t="shared" si="2090"/>
        <v>CH</v>
      </c>
      <c r="D2057" t="s">
        <v>2186</v>
      </c>
      <c r="E2057" t="str">
        <f t="shared" si="2091"/>
        <v>GWe/yr.</v>
      </c>
      <c r="F2057" s="1">
        <f t="shared" ref="F2057:K2057" si="2096">SUM(F2058:F2060)</f>
        <v>0</v>
      </c>
      <c r="G2057" s="1">
        <f t="shared" si="2096"/>
        <v>1.9949724558264145E-2</v>
      </c>
      <c r="H2057" s="1">
        <f t="shared" si="2096"/>
        <v>1.9119265164591569E-4</v>
      </c>
      <c r="I2057" s="1">
        <f t="shared" si="2096"/>
        <v>2.9998681744258283E-2</v>
      </c>
      <c r="J2057" s="1">
        <f t="shared" si="2096"/>
        <v>1.4827898686902008E-2</v>
      </c>
      <c r="K2057" s="1">
        <f t="shared" si="2096"/>
        <v>1.6081234719083355E-2</v>
      </c>
      <c r="L2057" s="1">
        <f t="shared" ref="L2057" si="2097">SUM(L2058:L2060)</f>
        <v>2.4019628088919272E-6</v>
      </c>
      <c r="N2057" s="1"/>
    </row>
    <row r="2058" spans="2:14" x14ac:dyDescent="0.35">
      <c r="B2058" s="5" t="str">
        <f t="shared" si="2093"/>
        <v>SPS1</v>
      </c>
      <c r="C2058" s="5" t="str">
        <f t="shared" si="2090"/>
        <v>CH</v>
      </c>
      <c r="D2058" t="s">
        <v>2187</v>
      </c>
      <c r="E2058" t="str">
        <f t="shared" si="2091"/>
        <v>GWe/yr.</v>
      </c>
      <c r="F2058" s="1">
        <f>'[1]Electricity and CHPs_NCAP'!B$18</f>
        <v>0</v>
      </c>
      <c r="G2058" s="1">
        <f>'[1]Electricity and CHPs_NCAP'!C$18</f>
        <v>9.9580250205404594E-6</v>
      </c>
      <c r="H2058" s="1">
        <f>'[1]Electricity and CHPs_NCAP'!D$18</f>
        <v>1.87075700387534E-4</v>
      </c>
      <c r="I2058" s="1">
        <f>'[1]Electricity and CHPs_NCAP'!E$18</f>
        <v>2.99934486212485E-2</v>
      </c>
      <c r="J2058" s="1">
        <f>'[2]Electricity and CHPs_NCAP'!F$18</f>
        <v>1.48206173901519E-2</v>
      </c>
      <c r="K2058" s="1">
        <f>'[2]Electricity and CHPs_NCAP'!G$18</f>
        <v>3.4621517949755601E-4</v>
      </c>
      <c r="L2058" s="1">
        <f>'[2]Electricity and CHPs_NCAP'!H$18</f>
        <v>1.8380431014080001E-6</v>
      </c>
      <c r="N2058" s="1"/>
    </row>
    <row r="2059" spans="2:14" x14ac:dyDescent="0.35">
      <c r="B2059" s="5" t="str">
        <f t="shared" si="2093"/>
        <v>SPS1</v>
      </c>
      <c r="C2059" s="5" t="str">
        <f t="shared" si="2090"/>
        <v>CH</v>
      </c>
      <c r="D2059" t="s">
        <v>2188</v>
      </c>
      <c r="E2059" t="str">
        <f t="shared" si="2091"/>
        <v>GWe/yr.</v>
      </c>
      <c r="F2059" s="1">
        <f>'[1]Electricity and CHPs_NCAP'!B$28</f>
        <v>0</v>
      </c>
      <c r="G2059" s="1">
        <f>'[1]Electricity and CHPs_NCAP'!C$28</f>
        <v>3.0878581210042501E-6</v>
      </c>
      <c r="H2059" s="1">
        <f>'[1]Electricity and CHPs_NCAP'!D$28</f>
        <v>4.1169512583816897E-6</v>
      </c>
      <c r="I2059" s="1">
        <f>'[1]Electricity and CHPs_NCAP'!E$28</f>
        <v>5.2331230097848597E-6</v>
      </c>
      <c r="J2059" s="1">
        <f>'[2]Electricity and CHPs_NCAP'!F$28</f>
        <v>7.2812967501076303E-6</v>
      </c>
      <c r="K2059" s="1">
        <f>'[2]Electricity and CHPs_NCAP'!G$28</f>
        <v>1.5735019539585799E-2</v>
      </c>
      <c r="L2059" s="1">
        <f>'[2]Electricity and CHPs_NCAP'!H$28</f>
        <v>5.63919707483927E-7</v>
      </c>
      <c r="N2059" s="1"/>
    </row>
    <row r="2060" spans="2:14" x14ac:dyDescent="0.35">
      <c r="B2060" s="5" t="str">
        <f t="shared" si="2093"/>
        <v>SPS1</v>
      </c>
      <c r="C2060" s="5" t="str">
        <f t="shared" si="2090"/>
        <v>CH</v>
      </c>
      <c r="D2060" t="s">
        <v>2189</v>
      </c>
      <c r="E2060" t="str">
        <f t="shared" si="2091"/>
        <v>GWe/yr.</v>
      </c>
      <c r="F2060" s="1">
        <f>'[1]Electricity and CHPs_NCAP'!B$41</f>
        <v>0</v>
      </c>
      <c r="G2060" s="1">
        <f>'[1]Electricity and CHPs_NCAP'!C$41</f>
        <v>1.99366786751226E-2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93"/>
        <v>SPS1</v>
      </c>
      <c r="C2061" s="5" t="str">
        <f t="shared" si="2090"/>
        <v>CH</v>
      </c>
      <c r="D2061" t="s">
        <v>2190</v>
      </c>
      <c r="E2061" t="str">
        <f t="shared" si="2091"/>
        <v>GWe/yr.</v>
      </c>
      <c r="F2061" s="1">
        <f t="shared" ref="F2061:K2061" si="2098">SUM(F2062:F2076)</f>
        <v>0</v>
      </c>
      <c r="G2061" s="1">
        <f t="shared" si="2098"/>
        <v>5.7876765022081264E-2</v>
      </c>
      <c r="H2061" s="1">
        <f t="shared" si="2098"/>
        <v>6.6697970952489805E-3</v>
      </c>
      <c r="I2061" s="1">
        <f t="shared" si="2098"/>
        <v>3.5186848546052675E-2</v>
      </c>
      <c r="J2061" s="1">
        <f t="shared" si="2098"/>
        <v>4.5187801264885162E-2</v>
      </c>
      <c r="K2061" s="1">
        <f t="shared" si="2098"/>
        <v>4.8506881486936812E-2</v>
      </c>
      <c r="L2061" s="1">
        <f t="shared" ref="L2061" si="2099">SUM(L2062:L2076)</f>
        <v>4.397895014444992E-2</v>
      </c>
      <c r="N2061" s="1"/>
    </row>
    <row r="2062" spans="2:14" x14ac:dyDescent="0.35">
      <c r="B2062" s="5" t="str">
        <f t="shared" si="2093"/>
        <v>SPS1</v>
      </c>
      <c r="C2062" s="5" t="str">
        <f t="shared" si="2090"/>
        <v>CH</v>
      </c>
      <c r="D2062" t="s">
        <v>2191</v>
      </c>
      <c r="E2062" t="str">
        <f t="shared" si="2091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2.8947255761240899E-6</v>
      </c>
      <c r="L2062" s="1">
        <f>'[2]Electricity and CHPs_NCAP'!H$21</f>
        <v>3.5944654941799501E-4</v>
      </c>
      <c r="N2062" s="1"/>
    </row>
    <row r="2063" spans="2:14" x14ac:dyDescent="0.35">
      <c r="B2063" s="5" t="str">
        <f t="shared" si="2093"/>
        <v>SPS1</v>
      </c>
      <c r="C2063" s="5" t="str">
        <f t="shared" si="2090"/>
        <v>CH</v>
      </c>
      <c r="D2063" t="s">
        <v>2192</v>
      </c>
      <c r="E2063" t="str">
        <f t="shared" si="2091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1.0649685269411701E-3</v>
      </c>
      <c r="K2063" s="1">
        <f>'[2]Electricity and CHPs_NCAP'!G$22</f>
        <v>1.9800904235274601E-6</v>
      </c>
      <c r="L2063" s="1">
        <f>'[2]Electricity and CHPs_NCAP'!H$22</f>
        <v>3.0138071614663301E-6</v>
      </c>
      <c r="N2063" s="1"/>
    </row>
    <row r="2064" spans="2:14" x14ac:dyDescent="0.35">
      <c r="B2064" s="5" t="str">
        <f t="shared" si="2093"/>
        <v>SPS1</v>
      </c>
      <c r="C2064" s="5" t="str">
        <f t="shared" si="2090"/>
        <v>CH</v>
      </c>
      <c r="D2064" t="s">
        <v>2193</v>
      </c>
      <c r="E2064" t="str">
        <f t="shared" si="2091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3"/>
        <v>SPS1</v>
      </c>
      <c r="C2065" s="5" t="str">
        <f t="shared" si="2090"/>
        <v>CH</v>
      </c>
      <c r="D2065" t="s">
        <v>2194</v>
      </c>
      <c r="E2065" t="str">
        <f t="shared" si="2091"/>
        <v>GWe/yr.</v>
      </c>
      <c r="F2065" s="1">
        <f>'[1]Electricity and CHPs_NCAP'!B$24</f>
        <v>0</v>
      </c>
      <c r="G2065" s="1">
        <f>'[1]Electricity and CHPs_NCAP'!C$24</f>
        <v>4.8927798363755904E-7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93"/>
        <v>SPS1</v>
      </c>
      <c r="C2066" s="5" t="str">
        <f t="shared" si="2090"/>
        <v>CH</v>
      </c>
      <c r="D2066" t="s">
        <v>2195</v>
      </c>
      <c r="E2066" t="str">
        <f t="shared" si="2091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93"/>
        <v>SPS1</v>
      </c>
      <c r="C2067" s="5" t="str">
        <f t="shared" si="2090"/>
        <v>CH</v>
      </c>
      <c r="D2067" t="s">
        <v>2196</v>
      </c>
      <c r="E2067" t="str">
        <f t="shared" si="2091"/>
        <v>GWe/yr.</v>
      </c>
      <c r="F2067" s="1">
        <f>'[1]Electricity and CHPs_NCAP'!B$39</f>
        <v>0</v>
      </c>
      <c r="G2067" s="1">
        <f>'[1]Electricity and CHPs_NCAP'!C$39</f>
        <v>6.99946625057882E-7</v>
      </c>
      <c r="H2067" s="1">
        <f>'[1]Electricity and CHPs_NCAP'!D$39</f>
        <v>1.01580203922671E-4</v>
      </c>
      <c r="I2067" s="1">
        <f>'[1]Electricity and CHPs_NCAP'!E$39</f>
        <v>2.28559918953378E-2</v>
      </c>
      <c r="J2067" s="1">
        <f>'[2]Electricity and CHPs_NCAP'!F$39</f>
        <v>1.8541245478629601E-6</v>
      </c>
      <c r="K2067" s="1">
        <f>'[2]Electricity and CHPs_NCAP'!G$39</f>
        <v>1.4293775932985402E-2</v>
      </c>
      <c r="L2067" s="1">
        <f>'[2]Electricity and CHPs_NCAP'!H$39</f>
        <v>9.1812006906252203E-5</v>
      </c>
      <c r="N2067" s="1"/>
    </row>
    <row r="2068" spans="2:14" x14ac:dyDescent="0.35">
      <c r="B2068" s="5" t="str">
        <f t="shared" si="2093"/>
        <v>SPS1</v>
      </c>
      <c r="C2068" s="5" t="str">
        <f t="shared" si="2090"/>
        <v>CH</v>
      </c>
      <c r="D2068" t="s">
        <v>2197</v>
      </c>
      <c r="E2068" t="str">
        <f t="shared" si="2091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3.02240328817183E-3</v>
      </c>
      <c r="L2068" s="1">
        <f>'[2]Electricity and CHPs_NCAP'!H$40</f>
        <v>2.74719394827051E-7</v>
      </c>
      <c r="N2068" s="1"/>
    </row>
    <row r="2069" spans="2:14" x14ac:dyDescent="0.35">
      <c r="B2069" s="5" t="str">
        <f t="shared" si="2093"/>
        <v>SPS1</v>
      </c>
      <c r="C2069" s="5" t="str">
        <f t="shared" si="2090"/>
        <v>CH</v>
      </c>
      <c r="D2069" t="s">
        <v>2198</v>
      </c>
      <c r="E2069" t="str">
        <f t="shared" si="2091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1.0647970895617399E-4</v>
      </c>
      <c r="J2069" s="1">
        <f>'[2]Electricity and CHPs_NCAP'!F$47</f>
        <v>4.0067804484427298E-5</v>
      </c>
      <c r="K2069" s="1">
        <f>'[2]Electricity and CHPs_NCAP'!G$47</f>
        <v>3.3098703049933497E-5</v>
      </c>
      <c r="L2069" s="1">
        <f>'[2]Electricity and CHPs_NCAP'!H$47</f>
        <v>3.42736402812798E-5</v>
      </c>
      <c r="N2069" s="1"/>
    </row>
    <row r="2070" spans="2:14" x14ac:dyDescent="0.35">
      <c r="B2070" s="5" t="str">
        <f t="shared" si="2093"/>
        <v>SPS1</v>
      </c>
      <c r="C2070" s="5" t="str">
        <f t="shared" si="2090"/>
        <v>CH</v>
      </c>
      <c r="D2070" t="s">
        <v>2199</v>
      </c>
      <c r="E2070" t="str">
        <f t="shared" si="2091"/>
        <v>GWe/yr.</v>
      </c>
      <c r="F2070" s="1">
        <f>'[1]Electricity and CHPs_NCAP'!B$48</f>
        <v>0</v>
      </c>
      <c r="G2070" s="1">
        <f>'[1]Electricity and CHPs_NCAP'!C$48</f>
        <v>9.6063766053741738E-4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93"/>
        <v>SPS1</v>
      </c>
      <c r="C2071" s="5" t="str">
        <f t="shared" si="2090"/>
        <v>CH</v>
      </c>
      <c r="D2071" t="s">
        <v>2200</v>
      </c>
      <c r="E2071" t="str">
        <f t="shared" si="2091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93"/>
        <v>SPS1</v>
      </c>
      <c r="C2072" s="5" t="str">
        <f t="shared" si="2090"/>
        <v>CH</v>
      </c>
      <c r="D2072" t="s">
        <v>2201</v>
      </c>
      <c r="E2072" t="str">
        <f t="shared" si="2091"/>
        <v>GWe/yr.</v>
      </c>
      <c r="F2072" s="1">
        <f>'[1]Electricity and CHPs_NCAP'!B$51</f>
        <v>0</v>
      </c>
      <c r="G2072" s="1">
        <f>'[1]Electricity and CHPs_NCAP'!C$51</f>
        <v>3.5510048648756489E-3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93"/>
        <v>SPS1</v>
      </c>
      <c r="C2073" s="5" t="str">
        <f t="shared" si="2090"/>
        <v>CH</v>
      </c>
      <c r="D2073" t="s">
        <v>2202</v>
      </c>
      <c r="E2073" t="str">
        <f t="shared" si="2091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93"/>
        <v>SPS1</v>
      </c>
      <c r="C2074" s="5" t="str">
        <f t="shared" si="2090"/>
        <v>CH</v>
      </c>
      <c r="D2074" t="s">
        <v>2203</v>
      </c>
      <c r="E2074" t="str">
        <f t="shared" si="2091"/>
        <v>GWe/yr.</v>
      </c>
      <c r="F2074" s="1">
        <f>'[1]Electricity and CHPs_NCAP'!B$54</f>
        <v>0</v>
      </c>
      <c r="G2074" s="1">
        <f>'[1]Electricity and CHPs_NCAP'!C$54</f>
        <v>2.6190767114477001E-2</v>
      </c>
      <c r="H2074" s="1">
        <f>'[1]Electricity and CHPs_NCAP'!D$54</f>
        <v>6.5682168913263096E-3</v>
      </c>
      <c r="I2074" s="1">
        <f>'[1]Electricity and CHPs_NCAP'!E$54</f>
        <v>1.2224376941758699E-2</v>
      </c>
      <c r="J2074" s="1">
        <f>'[2]Electricity and CHPs_NCAP'!F$54</f>
        <v>4.4080910808911702E-2</v>
      </c>
      <c r="K2074" s="1">
        <f>'[2]Electricity and CHPs_NCAP'!G$54</f>
        <v>3.1152728746729998E-2</v>
      </c>
      <c r="L2074" s="1">
        <f>'[2]Electricity and CHPs_NCAP'!H$54</f>
        <v>4.3490129421288097E-2</v>
      </c>
      <c r="N2074" s="1"/>
    </row>
    <row r="2075" spans="2:14" x14ac:dyDescent="0.35">
      <c r="B2075" s="5" t="str">
        <f t="shared" si="2093"/>
        <v>SPS1</v>
      </c>
      <c r="C2075" s="5" t="str">
        <f t="shared" si="2090"/>
        <v>CH</v>
      </c>
      <c r="D2075" t="s">
        <v>2204</v>
      </c>
      <c r="E2075" t="str">
        <f t="shared" si="2091"/>
        <v>GWe/yr.</v>
      </c>
      <c r="F2075" s="1">
        <f>'[1]Electricity and CHPs_NCAP'!B$55</f>
        <v>0</v>
      </c>
      <c r="G2075" s="1">
        <f>'[1]Electricity and CHPs_NCAP'!C$55</f>
        <v>2.7173166157582501E-2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93"/>
        <v>SPS1</v>
      </c>
      <c r="C2076" s="5" t="str">
        <f t="shared" si="2090"/>
        <v>CH</v>
      </c>
      <c r="D2076" t="s">
        <v>2205</v>
      </c>
      <c r="E2076" t="str">
        <f t="shared" si="2091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93"/>
        <v>SPS1</v>
      </c>
      <c r="C2077" s="5" t="str">
        <f t="shared" si="2090"/>
        <v>CH</v>
      </c>
      <c r="D2077" t="s">
        <v>2206</v>
      </c>
      <c r="E2077" t="str">
        <f t="shared" si="2091"/>
        <v>GWe/yr.</v>
      </c>
      <c r="F2077" s="1">
        <f t="shared" ref="F2077:K2077" si="2100">SUM(F2078:F2083)</f>
        <v>0</v>
      </c>
      <c r="G2077" s="1">
        <f t="shared" si="2100"/>
        <v>7.6334568905744895E-7</v>
      </c>
      <c r="H2077" s="1">
        <f t="shared" si="2100"/>
        <v>3.0783703818361076E-2</v>
      </c>
      <c r="I2077" s="1">
        <f t="shared" si="2100"/>
        <v>3.8565100251408573E-2</v>
      </c>
      <c r="J2077" s="1">
        <f t="shared" si="2100"/>
        <v>7.624709908622064E-2</v>
      </c>
      <c r="K2077" s="1">
        <f t="shared" si="2100"/>
        <v>0.14331643844623038</v>
      </c>
      <c r="L2077" s="1">
        <f t="shared" ref="L2077" si="2101">SUM(L2078:L2083)</f>
        <v>0.27106385715749004</v>
      </c>
      <c r="N2077" s="1"/>
    </row>
    <row r="2078" spans="2:14" x14ac:dyDescent="0.35">
      <c r="B2078" s="5" t="str">
        <f t="shared" si="2093"/>
        <v>SPS1</v>
      </c>
      <c r="C2078" s="5" t="str">
        <f t="shared" si="2090"/>
        <v>CH</v>
      </c>
      <c r="D2078" t="s">
        <v>2207</v>
      </c>
      <c r="E2078" t="str">
        <f t="shared" si="2091"/>
        <v>GWe/yr.</v>
      </c>
      <c r="F2078" s="1">
        <f>'[1]Electricity and CHPs_NCAP'!B$19</f>
        <v>0</v>
      </c>
      <c r="G2078" s="1">
        <f>'[1]Electricity and CHPs_NCAP'!C$19</f>
        <v>4.0707196678010802E-7</v>
      </c>
      <c r="H2078" s="1">
        <f>'[1]Electricity and CHPs_NCAP'!D$19</f>
        <v>3.0783424821491899E-2</v>
      </c>
      <c r="I2078" s="1">
        <f>'[1]Electricity and CHPs_NCAP'!E$19</f>
        <v>3.8564063429006701E-2</v>
      </c>
      <c r="J2078" s="1">
        <f>'[2]Electricity and CHPs_NCAP'!F$19</f>
        <v>7.2180132626381496E-2</v>
      </c>
      <c r="K2078" s="1">
        <f>'[2]Electricity and CHPs_NCAP'!G$19</f>
        <v>3.22464876107302E-8</v>
      </c>
      <c r="L2078" s="1">
        <f>'[2]Electricity and CHPs_NCAP'!H$19</f>
        <v>2.29145347329887E-8</v>
      </c>
      <c r="N2078" s="1"/>
    </row>
    <row r="2079" spans="2:14" x14ac:dyDescent="0.35">
      <c r="B2079" s="5" t="str">
        <f t="shared" si="2093"/>
        <v>SPS1</v>
      </c>
      <c r="C2079" s="5" t="str">
        <f t="shared" si="2090"/>
        <v>CH</v>
      </c>
      <c r="D2079" t="s">
        <v>2208</v>
      </c>
      <c r="E2079" t="str">
        <f t="shared" si="2091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0.116047896623186</v>
      </c>
      <c r="L2079" s="1">
        <f>'[2]Electricity and CHPs_NCAP'!H$20</f>
        <v>0.199983717344975</v>
      </c>
      <c r="N2079" s="1"/>
    </row>
    <row r="2080" spans="2:14" x14ac:dyDescent="0.35">
      <c r="B2080" s="5" t="str">
        <f t="shared" si="2093"/>
        <v>SPS1</v>
      </c>
      <c r="C2080" s="5" t="str">
        <f t="shared" si="2090"/>
        <v>CH</v>
      </c>
      <c r="D2080" t="s">
        <v>2209</v>
      </c>
      <c r="E2080" t="str">
        <f t="shared" si="2091"/>
        <v>GWe/yr.</v>
      </c>
      <c r="F2080" s="1">
        <f>'[1]Electricity and CHPs_NCAP'!B$26</f>
        <v>0</v>
      </c>
      <c r="G2080" s="1">
        <f>'[1]Electricity and CHPs_NCAP'!C$26</f>
        <v>1.9850769186164999E-7</v>
      </c>
      <c r="H2080" s="1">
        <f>'[1]Electricity and CHPs_NCAP'!D$26</f>
        <v>1.7982506723081001E-7</v>
      </c>
      <c r="I2080" s="1">
        <f>'[1]Electricity and CHPs_NCAP'!E$26</f>
        <v>8.3431704218900205E-7</v>
      </c>
      <c r="J2080" s="1">
        <f>'[2]Electricity and CHPs_NCAP'!F$26</f>
        <v>4.0667406983267897E-3</v>
      </c>
      <c r="K2080" s="1">
        <f>'[2]Electricity and CHPs_NCAP'!G$26</f>
        <v>3.4142760343232897E-8</v>
      </c>
      <c r="L2080" s="1">
        <f>'[2]Electricity and CHPs_NCAP'!H$26</f>
        <v>2.46980552615646E-8</v>
      </c>
      <c r="N2080" s="1"/>
    </row>
    <row r="2081" spans="2:14" x14ac:dyDescent="0.35">
      <c r="B2081" s="5" t="str">
        <f t="shared" si="2093"/>
        <v>SPS1</v>
      </c>
      <c r="C2081" s="5" t="str">
        <f t="shared" si="2090"/>
        <v>CH</v>
      </c>
      <c r="D2081" t="s">
        <v>2210</v>
      </c>
      <c r="E2081" t="str">
        <f t="shared" si="2091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2.6763286369221099E-2</v>
      </c>
      <c r="L2081" s="1">
        <f>'[2]Electricity and CHPs_NCAP'!H$27</f>
        <v>4.7363572580008298E-2</v>
      </c>
      <c r="N2081" s="1"/>
    </row>
    <row r="2082" spans="2:14" x14ac:dyDescent="0.35">
      <c r="B2082" s="5" t="str">
        <f t="shared" si="2093"/>
        <v>SPS1</v>
      </c>
      <c r="C2082" s="5" t="str">
        <f t="shared" si="2090"/>
        <v>CH</v>
      </c>
      <c r="D2082" t="s">
        <v>2211</v>
      </c>
      <c r="E2082" t="str">
        <f t="shared" si="2091"/>
        <v>GWe/yr.</v>
      </c>
      <c r="F2082" s="1">
        <f>'[1]Electricity and CHPs_NCAP'!B$44</f>
        <v>0</v>
      </c>
      <c r="G2082" s="1">
        <f>'[1]Electricity and CHPs_NCAP'!C$44</f>
        <v>1.5776603041569099E-7</v>
      </c>
      <c r="H2082" s="1">
        <f>'[1]Electricity and CHPs_NCAP'!D$44</f>
        <v>9.9171801946892496E-8</v>
      </c>
      <c r="I2082" s="1">
        <f>'[1]Electricity and CHPs_NCAP'!E$44</f>
        <v>2.0250535968431999E-7</v>
      </c>
      <c r="J2082" s="1">
        <f>'[2]Electricity and CHPs_NCAP'!F$44</f>
        <v>2.25761512363162E-7</v>
      </c>
      <c r="K2082" s="1">
        <f>'[2]Electricity and CHPs_NCAP'!G$44</f>
        <v>8.6822211143651103E-8</v>
      </c>
      <c r="L2082" s="1">
        <f>'[2]Electricity and CHPs_NCAP'!H$44</f>
        <v>4.3346155404429602E-8</v>
      </c>
      <c r="N2082" s="1"/>
    </row>
    <row r="2083" spans="2:14" x14ac:dyDescent="0.35">
      <c r="B2083" s="5" t="str">
        <f t="shared" si="2093"/>
        <v>SPS1</v>
      </c>
      <c r="C2083" s="5" t="str">
        <f t="shared" si="2090"/>
        <v>CH</v>
      </c>
      <c r="D2083" t="s">
        <v>2212</v>
      </c>
      <c r="E2083" t="str">
        <f t="shared" ref="E2083:E2113" si="2102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5.0510224236418797E-4</v>
      </c>
      <c r="L2083" s="1">
        <f>'[2]Electricity and CHPs_NCAP'!H$45</f>
        <v>2.3716476273761299E-2</v>
      </c>
      <c r="N2083" s="1"/>
    </row>
    <row r="2084" spans="2:14" x14ac:dyDescent="0.35">
      <c r="B2084" s="5" t="str">
        <f t="shared" si="2093"/>
        <v>SPS1</v>
      </c>
      <c r="C2084" s="5" t="str">
        <f t="shared" si="2090"/>
        <v>CH</v>
      </c>
      <c r="D2084" t="s">
        <v>2213</v>
      </c>
      <c r="E2084" t="str">
        <f t="shared" si="2102"/>
        <v>GWe/yr.</v>
      </c>
      <c r="F2084" s="1">
        <f t="shared" ref="F2084:K2084" si="2103">SUM(F2085:F2091)</f>
        <v>0</v>
      </c>
      <c r="G2084" s="1">
        <f t="shared" si="2103"/>
        <v>1.7612557633927172E-2</v>
      </c>
      <c r="H2084" s="1">
        <f t="shared" si="2103"/>
        <v>2.3551124415519611E-2</v>
      </c>
      <c r="I2084" s="1">
        <f t="shared" si="2103"/>
        <v>5.9315421067219716E-2</v>
      </c>
      <c r="J2084" s="1">
        <f t="shared" si="2103"/>
        <v>5.6397816806831619E-2</v>
      </c>
      <c r="K2084" s="1">
        <f t="shared" si="2103"/>
        <v>6.784612830107678E-2</v>
      </c>
      <c r="L2084" s="1">
        <f t="shared" ref="L2084" si="2104">SUM(L2085:L2091)</f>
        <v>0.22426587781883789</v>
      </c>
      <c r="N2084" s="1"/>
    </row>
    <row r="2085" spans="2:14" x14ac:dyDescent="0.35">
      <c r="B2085" s="5" t="str">
        <f t="shared" si="2093"/>
        <v>SPS1</v>
      </c>
      <c r="C2085" s="5" t="str">
        <f t="shared" si="2090"/>
        <v>CH</v>
      </c>
      <c r="D2085" t="s">
        <v>2214</v>
      </c>
      <c r="E2085" t="str">
        <f t="shared" si="2102"/>
        <v>GWe/yr.</v>
      </c>
      <c r="F2085" s="1">
        <f>'[1]Electricity and CHPs_NCAP'!B$25</f>
        <v>0</v>
      </c>
      <c r="G2085" s="1">
        <f>'[1]Electricity and CHPs_NCAP'!C$25</f>
        <v>1.8966089547181999E-7</v>
      </c>
      <c r="H2085" s="1">
        <f>'[1]Electricity and CHPs_NCAP'!D$25</f>
        <v>1.1072613097310799E-5</v>
      </c>
      <c r="I2085" s="1">
        <f>'[1]Electricity and CHPs_NCAP'!E$25</f>
        <v>3.4427877582963798E-2</v>
      </c>
      <c r="J2085" s="1">
        <f>'[2]Electricity and CHPs_NCAP'!F$25</f>
        <v>9.62060593032285E-6</v>
      </c>
      <c r="K2085" s="1">
        <f>'[2]Electricity and CHPs_NCAP'!G$25</f>
        <v>1.41838007438092E-2</v>
      </c>
      <c r="L2085" s="1">
        <f>'[2]Electricity and CHPs_NCAP'!H$25</f>
        <v>2.0133751468946601E-7</v>
      </c>
      <c r="N2085" s="1"/>
    </row>
    <row r="2086" spans="2:14" x14ac:dyDescent="0.35">
      <c r="B2086" s="5" t="str">
        <f t="shared" si="2093"/>
        <v>SPS1</v>
      </c>
      <c r="C2086" s="5" t="str">
        <f t="shared" si="2090"/>
        <v>CH</v>
      </c>
      <c r="D2086" t="s">
        <v>2215</v>
      </c>
      <c r="E2086" t="str">
        <f t="shared" si="2102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1.05649262188712E-4</v>
      </c>
      <c r="L2086" s="1">
        <f>'[2]Electricity and CHPs_NCAP'!H$31</f>
        <v>0.15307427039862601</v>
      </c>
      <c r="N2086" s="1"/>
    </row>
    <row r="2087" spans="2:14" x14ac:dyDescent="0.35">
      <c r="B2087" s="5" t="str">
        <f t="shared" si="2093"/>
        <v>SPS1</v>
      </c>
      <c r="C2087" s="5" t="str">
        <f t="shared" si="2090"/>
        <v>CH</v>
      </c>
      <c r="D2087" t="s">
        <v>2216</v>
      </c>
      <c r="E2087" t="str">
        <f t="shared" si="2102"/>
        <v>GWe/yr.</v>
      </c>
      <c r="F2087" s="1">
        <f>'[1]Electricity and CHPs_NCAP'!B$42</f>
        <v>0</v>
      </c>
      <c r="G2087" s="1">
        <f>'[1]Electricity and CHPs_NCAP'!C$42</f>
        <v>1.7612367973031701E-2</v>
      </c>
      <c r="H2087" s="1">
        <f>'[1]Electricity and CHPs_NCAP'!D$42</f>
        <v>2.3540051802422302E-2</v>
      </c>
      <c r="I2087" s="1">
        <f>'[1]Electricity and CHPs_NCAP'!E$42</f>
        <v>2.48520199682945E-2</v>
      </c>
      <c r="J2087" s="1">
        <f>'[2]Electricity and CHPs_NCAP'!F$42</f>
        <v>4.8143931409403901E-2</v>
      </c>
      <c r="K2087" s="1">
        <f>'[2]Electricity and CHPs_NCAP'!G$42</f>
        <v>1.90395758263294E-2</v>
      </c>
      <c r="L2087" s="1">
        <f>'[2]Electricity and CHPs_NCAP'!H$42</f>
        <v>1.9774196255071801E-2</v>
      </c>
      <c r="N2087" s="1"/>
    </row>
    <row r="2088" spans="2:14" x14ac:dyDescent="0.35">
      <c r="B2088" s="5" t="str">
        <f t="shared" si="2093"/>
        <v>SPS1</v>
      </c>
      <c r="C2088" s="5" t="str">
        <f t="shared" si="2090"/>
        <v>CH</v>
      </c>
      <c r="D2088" t="s">
        <v>2217</v>
      </c>
      <c r="E2088" t="str">
        <f t="shared" si="2102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3.4469659714718603E-2</v>
      </c>
      <c r="L2088" s="1">
        <f>'[2]Electricity and CHPs_NCAP'!H$43</f>
        <v>5.1388279286387603E-2</v>
      </c>
      <c r="N2088" s="1"/>
    </row>
    <row r="2089" spans="2:14" x14ac:dyDescent="0.35">
      <c r="B2089" s="5" t="str">
        <f t="shared" si="2093"/>
        <v>SPS1</v>
      </c>
      <c r="C2089" s="5" t="str">
        <f t="shared" si="2090"/>
        <v>CH</v>
      </c>
      <c r="D2089" t="s">
        <v>2218</v>
      </c>
      <c r="E2089" t="str">
        <f t="shared" si="2102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7.5644411438864299E-6</v>
      </c>
      <c r="J2089" s="1">
        <f>'[2]Electricity and CHPs_NCAP'!F$50</f>
        <v>1.002700120968078E-4</v>
      </c>
      <c r="K2089" s="1">
        <f>'[2]Electricity and CHPs_NCAP'!G$50</f>
        <v>3.2730652006609198E-5</v>
      </c>
      <c r="L2089" s="1">
        <f>'[2]Electricity and CHPs_NCAP'!H$50</f>
        <v>3.5064696258035891E-6</v>
      </c>
      <c r="N2089" s="1"/>
    </row>
    <row r="2090" spans="2:14" x14ac:dyDescent="0.35">
      <c r="B2090" s="5" t="str">
        <f t="shared" si="2093"/>
        <v>SPS1</v>
      </c>
      <c r="C2090" s="5" t="str">
        <f t="shared" si="2090"/>
        <v>CH</v>
      </c>
      <c r="D2090" t="s">
        <v>2219</v>
      </c>
      <c r="E2090" t="str">
        <f t="shared" si="2102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1.3556918345133981E-5</v>
      </c>
      <c r="J2090" s="1">
        <f>'[2]Electricity and CHPs_NCAP'!F$53</f>
        <v>8.1232268181334992E-3</v>
      </c>
      <c r="K2090" s="1">
        <f>'[2]Electricity and CHPs_NCAP'!G$53</f>
        <v>4.0716679606379303E-6</v>
      </c>
      <c r="L2090" s="1">
        <f>'[2]Electricity and CHPs_NCAP'!H$53</f>
        <v>4.3318201355873399E-6</v>
      </c>
      <c r="N2090" s="1"/>
    </row>
    <row r="2091" spans="2:14" x14ac:dyDescent="0.35">
      <c r="B2091" s="5" t="str">
        <f t="shared" si="2093"/>
        <v>SPS1</v>
      </c>
      <c r="C2091" s="5" t="str">
        <f t="shared" si="2090"/>
        <v>CH</v>
      </c>
      <c r="D2091" t="s">
        <v>2220</v>
      </c>
      <c r="E2091" t="str">
        <f t="shared" si="2102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1.4402156472393201E-5</v>
      </c>
      <c r="J2091" s="1">
        <f>'[2]Electricity and CHPs_NCAP'!F$56</f>
        <v>2.0767961267087799E-5</v>
      </c>
      <c r="K2091" s="1">
        <f>'[2]Electricity and CHPs_NCAP'!G$56</f>
        <v>1.06404340636099E-5</v>
      </c>
      <c r="L2091" s="1">
        <f>'[2]Electricity and CHPs_NCAP'!H$56</f>
        <v>2.1092251476429701E-5</v>
      </c>
      <c r="N2091" s="1"/>
    </row>
    <row r="2092" spans="2:14" x14ac:dyDescent="0.35">
      <c r="B2092" s="5" t="str">
        <f t="shared" si="2093"/>
        <v>SPS1</v>
      </c>
      <c r="C2092" s="5" t="str">
        <f t="shared" si="2090"/>
        <v>CH</v>
      </c>
      <c r="D2092" t="s">
        <v>2221</v>
      </c>
      <c r="E2092" t="str">
        <f t="shared" si="2102"/>
        <v>GWe/yr.</v>
      </c>
      <c r="F2092" s="1">
        <f t="shared" ref="F2092:L2092" si="2105">F2093</f>
        <v>0</v>
      </c>
      <c r="G2092" s="1">
        <f t="shared" si="2105"/>
        <v>7.1321598926009696E-3</v>
      </c>
      <c r="H2092" s="1">
        <f t="shared" si="2105"/>
        <v>0.29200640875718398</v>
      </c>
      <c r="I2092" s="1">
        <f t="shared" si="2105"/>
        <v>0.28588652815226001</v>
      </c>
      <c r="J2092" s="1">
        <f t="shared" si="2105"/>
        <v>2.2848608545031301E-2</v>
      </c>
      <c r="K2092" s="1">
        <f t="shared" si="2105"/>
        <v>1.33583295975872E-6</v>
      </c>
      <c r="L2092" s="1">
        <f t="shared" si="2105"/>
        <v>0.126194125107462</v>
      </c>
      <c r="N2092" s="1"/>
    </row>
    <row r="2093" spans="2:14" x14ac:dyDescent="0.35">
      <c r="B2093" s="5" t="str">
        <f t="shared" si="2093"/>
        <v>SPS1</v>
      </c>
      <c r="C2093" s="5" t="str">
        <f t="shared" si="2090"/>
        <v>CH</v>
      </c>
      <c r="D2093" t="s">
        <v>2222</v>
      </c>
      <c r="E2093" t="str">
        <f t="shared" si="2102"/>
        <v>GWe/yr.</v>
      </c>
      <c r="F2093" s="1">
        <f>'[1]Electricity and CHPs_NCAP'!B$33</f>
        <v>0</v>
      </c>
      <c r="G2093" s="1">
        <f>'[1]Electricity and CHPs_NCAP'!C$33</f>
        <v>7.1321598926009696E-3</v>
      </c>
      <c r="H2093" s="1">
        <f>'[1]Electricity and CHPs_NCAP'!D$33</f>
        <v>0.29200640875718398</v>
      </c>
      <c r="I2093" s="1">
        <f>'[1]Electricity and CHPs_NCAP'!E$33</f>
        <v>0.28588652815226001</v>
      </c>
      <c r="J2093" s="1">
        <f>'[2]Electricity and CHPs_NCAP'!F$33</f>
        <v>2.2848608545031301E-2</v>
      </c>
      <c r="K2093" s="1">
        <f>'[2]Electricity and CHPs_NCAP'!G$33</f>
        <v>1.33583295975872E-6</v>
      </c>
      <c r="L2093" s="1">
        <f>'[2]Electricity and CHPs_NCAP'!H$33</f>
        <v>0.126194125107462</v>
      </c>
      <c r="N2093" s="1"/>
    </row>
    <row r="2094" spans="2:14" x14ac:dyDescent="0.35">
      <c r="B2094" s="5" t="str">
        <f t="shared" si="2093"/>
        <v>SPS1</v>
      </c>
      <c r="C2094" s="5" t="str">
        <f t="shared" si="2090"/>
        <v>CH</v>
      </c>
      <c r="D2094" t="s">
        <v>2223</v>
      </c>
      <c r="E2094" t="str">
        <f t="shared" si="2102"/>
        <v>GWe/yr.</v>
      </c>
      <c r="F2094" s="1">
        <f t="shared" ref="F2094:K2094" si="2106">SUM(F2095:F2099)</f>
        <v>0</v>
      </c>
      <c r="G2094" s="1">
        <f t="shared" si="2106"/>
        <v>3.3389746682598918E-5</v>
      </c>
      <c r="H2094" s="1">
        <f t="shared" si="2106"/>
        <v>4.523874197280275</v>
      </c>
      <c r="I2094" s="1">
        <f t="shared" si="2106"/>
        <v>5.5305697936179214</v>
      </c>
      <c r="J2094" s="1">
        <f t="shared" si="2106"/>
        <v>2.2123762937075973</v>
      </c>
      <c r="K2094" s="1">
        <f t="shared" si="2106"/>
        <v>3.0633102882476262</v>
      </c>
      <c r="L2094" s="1">
        <f t="shared" ref="L2094" si="2107">SUM(L2095:L2099)</f>
        <v>11.936520801124061</v>
      </c>
      <c r="N2094" s="1"/>
    </row>
    <row r="2095" spans="2:14" x14ac:dyDescent="0.35">
      <c r="B2095" s="5" t="str">
        <f t="shared" si="2093"/>
        <v>SPS1</v>
      </c>
      <c r="C2095" s="5" t="str">
        <f t="shared" si="2090"/>
        <v>CH</v>
      </c>
      <c r="D2095" t="s">
        <v>2224</v>
      </c>
      <c r="E2095" t="str">
        <f t="shared" si="2102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0.1206573154216819</v>
      </c>
      <c r="I2095" s="1">
        <f>'[1]Electricity and CHPs_NCAP'!E$34</f>
        <v>3.066727268986574E-5</v>
      </c>
      <c r="J2095" s="1">
        <f>'[2]Electricity and CHPs_NCAP'!F$34</f>
        <v>0.17054488548733557</v>
      </c>
      <c r="K2095" s="1">
        <f>'[2]Electricity and CHPs_NCAP'!G$34</f>
        <v>0.34491824965790707</v>
      </c>
      <c r="L2095" s="1">
        <f>'[2]Electricity and CHPs_NCAP'!H$34</f>
        <v>5.3522585353649992E-7</v>
      </c>
      <c r="N2095" s="1"/>
    </row>
    <row r="2096" spans="2:14" x14ac:dyDescent="0.35">
      <c r="B2096" s="5" t="str">
        <f t="shared" si="2093"/>
        <v>SPS1</v>
      </c>
      <c r="C2096" s="5" t="str">
        <f t="shared" si="2090"/>
        <v>CH</v>
      </c>
      <c r="D2096" t="s">
        <v>2225</v>
      </c>
      <c r="E2096" t="str">
        <f t="shared" si="2102"/>
        <v>GWe/yr.</v>
      </c>
      <c r="F2096" s="1">
        <f>'[1]Electricity and CHPs_NCAP'!B$35</f>
        <v>0</v>
      </c>
      <c r="G2096" s="1">
        <f>'[1]Electricity and CHPs_NCAP'!C$35</f>
        <v>6.5489665167177796E-8</v>
      </c>
      <c r="H2096" s="1">
        <f>'[1]Electricity and CHPs_NCAP'!D$35</f>
        <v>1.76796411068875</v>
      </c>
      <c r="I2096" s="1">
        <f>'[1]Electricity and CHPs_NCAP'!E$35</f>
        <v>2.1224169188782902</v>
      </c>
      <c r="J2096" s="1">
        <f>'[2]Electricity and CHPs_NCAP'!F$35</f>
        <v>0.79878976482077102</v>
      </c>
      <c r="K2096" s="1">
        <f>'[2]Electricity and CHPs_NCAP'!G$35</f>
        <v>1.0134458509970701</v>
      </c>
      <c r="L2096" s="1">
        <f>'[2]Electricity and CHPs_NCAP'!H$35</f>
        <v>4.6491115143560302</v>
      </c>
      <c r="N2096" s="1"/>
    </row>
    <row r="2097" spans="2:14" x14ac:dyDescent="0.35">
      <c r="B2097" s="5" t="str">
        <f t="shared" si="2093"/>
        <v>SPS1</v>
      </c>
      <c r="C2097" s="5" t="str">
        <f t="shared" si="2090"/>
        <v>CH</v>
      </c>
      <c r="D2097" t="s">
        <v>2226</v>
      </c>
      <c r="E2097" t="str">
        <f t="shared" si="2102"/>
        <v>GWe/yr.</v>
      </c>
      <c r="F2097" s="1">
        <f>'[1]Electricity and CHPs_NCAP'!B$36</f>
        <v>0</v>
      </c>
      <c r="G2097" s="1">
        <f>'[1]Electricity and CHPs_NCAP'!C$36</f>
        <v>1.5669564661115495E-5</v>
      </c>
      <c r="H2097" s="1">
        <f>'[1]Electricity and CHPs_NCAP'!D$36</f>
        <v>0.62954393525125529</v>
      </c>
      <c r="I2097" s="1">
        <f>'[1]Electricity and CHPs_NCAP'!E$36</f>
        <v>1.3427606876216533</v>
      </c>
      <c r="J2097" s="1">
        <f>'[2]Electricity and CHPs_NCAP'!F$36</f>
        <v>0.40045288881608299</v>
      </c>
      <c r="K2097" s="1">
        <f>'[2]Electricity and CHPs_NCAP'!G$36</f>
        <v>0.77053925681767299</v>
      </c>
      <c r="L2097" s="1">
        <f>'[2]Electricity and CHPs_NCAP'!H$36</f>
        <v>2.557661430435874</v>
      </c>
      <c r="N2097" s="1"/>
    </row>
    <row r="2098" spans="2:14" x14ac:dyDescent="0.35">
      <c r="B2098" s="5" t="str">
        <f t="shared" si="2093"/>
        <v>SPS1</v>
      </c>
      <c r="C2098" s="5" t="str">
        <f t="shared" si="2090"/>
        <v>CH</v>
      </c>
      <c r="D2098" t="s">
        <v>2227</v>
      </c>
      <c r="E2098" t="str">
        <f t="shared" si="2102"/>
        <v>GWe/yr.</v>
      </c>
      <c r="F2098" s="1">
        <f>'[1]Electricity and CHPs_NCAP'!B$37</f>
        <v>0</v>
      </c>
      <c r="G2098" s="1">
        <f>'[1]Electricity and CHPs_NCAP'!C$37</f>
        <v>1.7593128759974223E-5</v>
      </c>
      <c r="H2098" s="1">
        <f>'[1]Electricity and CHPs_NCAP'!D$37</f>
        <v>1.0033619028885046E-3</v>
      </c>
      <c r="I2098" s="1">
        <f>'[1]Electricity and CHPs_NCAP'!E$37</f>
        <v>2.6089492073280101E-6</v>
      </c>
      <c r="J2098" s="1">
        <f>'[2]Electricity and CHPs_NCAP'!F$37</f>
        <v>0.11251114737992841</v>
      </c>
      <c r="K2098" s="1">
        <f>'[2]Electricity and CHPs_NCAP'!G$37</f>
        <v>0.25027918399421029</v>
      </c>
      <c r="L2098" s="1">
        <f>'[2]Electricity and CHPs_NCAP'!H$37</f>
        <v>0.235645732865152</v>
      </c>
      <c r="N2098" s="1"/>
    </row>
    <row r="2099" spans="2:14" x14ac:dyDescent="0.35">
      <c r="B2099" s="5" t="str">
        <f t="shared" si="2093"/>
        <v>SPS1</v>
      </c>
      <c r="C2099" s="5" t="str">
        <f t="shared" si="2090"/>
        <v>CH</v>
      </c>
      <c r="D2099" t="s">
        <v>2228</v>
      </c>
      <c r="E2099" t="str">
        <f t="shared" si="2102"/>
        <v>GWe/yr.</v>
      </c>
      <c r="F2099" s="1">
        <f>'[1]Electricity and CHPs_NCAP'!B$38</f>
        <v>0</v>
      </c>
      <c r="G2099" s="1">
        <f>'[1]Electricity and CHPs_NCAP'!C$38</f>
        <v>6.1563596342027905E-8</v>
      </c>
      <c r="H2099" s="1">
        <f>'[1]Electricity and CHPs_NCAP'!D$38</f>
        <v>2.0047054740157</v>
      </c>
      <c r="I2099" s="1">
        <f>'[1]Electricity and CHPs_NCAP'!E$38</f>
        <v>2.0653589108960801</v>
      </c>
      <c r="J2099" s="1">
        <f>'[2]Electricity and CHPs_NCAP'!F$38</f>
        <v>0.73007760720347903</v>
      </c>
      <c r="K2099" s="1">
        <f>'[2]Electricity and CHPs_NCAP'!G$38</f>
        <v>0.68412774678076604</v>
      </c>
      <c r="L2099" s="1">
        <f>'[2]Electricity and CHPs_NCAP'!H$38</f>
        <v>4.4941015882411497</v>
      </c>
      <c r="N2099" s="1"/>
    </row>
    <row r="2100" spans="2:14" x14ac:dyDescent="0.35">
      <c r="B2100" s="5" t="str">
        <f t="shared" si="2093"/>
        <v>SPS1</v>
      </c>
      <c r="C2100" s="5" t="str">
        <f t="shared" si="2090"/>
        <v>CH</v>
      </c>
      <c r="D2100" t="s">
        <v>2229</v>
      </c>
      <c r="E2100" t="str">
        <f t="shared" si="2102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1.64319793747527E-4</v>
      </c>
      <c r="L2100" s="1">
        <f>'[2]Electricity and CHPs_NCAP'!H$32</f>
        <v>4.23792237836807E-8</v>
      </c>
      <c r="N2100" s="1"/>
    </row>
    <row r="2101" spans="2:14" x14ac:dyDescent="0.35">
      <c r="B2101" s="5" t="str">
        <f t="shared" si="2093"/>
        <v>SPS1</v>
      </c>
      <c r="C2101" s="5" t="str">
        <f t="shared" si="2090"/>
        <v>CH</v>
      </c>
      <c r="D2101" t="s">
        <v>2230</v>
      </c>
      <c r="E2101" t="str">
        <f t="shared" si="2102"/>
        <v>GWe/yr.</v>
      </c>
      <c r="F2101" s="1">
        <f t="shared" ref="F2101:K2101" si="2108">F2100</f>
        <v>0</v>
      </c>
      <c r="G2101" s="1">
        <f t="shared" si="2108"/>
        <v>0</v>
      </c>
      <c r="H2101" s="1">
        <f t="shared" si="2108"/>
        <v>0</v>
      </c>
      <c r="I2101" s="1">
        <f t="shared" si="2108"/>
        <v>0</v>
      </c>
      <c r="J2101" s="1">
        <f t="shared" si="2108"/>
        <v>0</v>
      </c>
      <c r="K2101" s="1">
        <f t="shared" si="2108"/>
        <v>1.64319793747527E-4</v>
      </c>
      <c r="L2101" s="1">
        <f t="shared" ref="L2101" si="2109">L2100</f>
        <v>4.23792237836807E-8</v>
      </c>
      <c r="N2101" s="1"/>
    </row>
    <row r="2102" spans="2:14" x14ac:dyDescent="0.35">
      <c r="B2102" s="5" t="str">
        <f t="shared" si="2093"/>
        <v>SPS1</v>
      </c>
      <c r="C2102" s="5" t="str">
        <f t="shared" si="2090"/>
        <v>CH</v>
      </c>
      <c r="D2102" t="s">
        <v>2231</v>
      </c>
      <c r="E2102" t="str">
        <f t="shared" si="2102"/>
        <v>GWe/yr.</v>
      </c>
      <c r="F2102" s="1">
        <f t="shared" ref="F2102:K2102" si="2110">SUM(F2103:F2105)</f>
        <v>0</v>
      </c>
      <c r="G2102" s="1">
        <f t="shared" si="2110"/>
        <v>0</v>
      </c>
      <c r="H2102" s="1">
        <f t="shared" si="2110"/>
        <v>0</v>
      </c>
      <c r="I2102" s="1">
        <f t="shared" si="2110"/>
        <v>1.4387274741387371E-3</v>
      </c>
      <c r="J2102" s="1">
        <f t="shared" si="2110"/>
        <v>3.3399464692163712E-5</v>
      </c>
      <c r="K2102" s="1">
        <f t="shared" si="2110"/>
        <v>3.0010801840553079E-2</v>
      </c>
      <c r="L2102" s="1">
        <f t="shared" ref="L2102" si="2111">SUM(L2103:L2105)</f>
        <v>5.8354773751675883E-3</v>
      </c>
      <c r="N2102" s="1"/>
    </row>
    <row r="2103" spans="2:14" x14ac:dyDescent="0.35">
      <c r="B2103" s="5" t="str">
        <f t="shared" si="2093"/>
        <v>SPS1</v>
      </c>
      <c r="C2103" s="5" t="str">
        <f t="shared" si="2090"/>
        <v>CH</v>
      </c>
      <c r="D2103" t="s">
        <v>2232</v>
      </c>
      <c r="E2103" t="str">
        <f t="shared" si="2102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5.9119312509369297E-3</v>
      </c>
      <c r="L2103" s="1">
        <f>'[2]Electricity and CHPs_NCAP'!H$30</f>
        <v>1.9129701217574799E-7</v>
      </c>
      <c r="N2103" s="1"/>
    </row>
    <row r="2104" spans="2:14" x14ac:dyDescent="0.35">
      <c r="B2104" s="5" t="str">
        <f t="shared" si="2093"/>
        <v>SPS1</v>
      </c>
      <c r="C2104" s="5" t="str">
        <f t="shared" si="2090"/>
        <v>CH</v>
      </c>
      <c r="D2104" t="s">
        <v>2233</v>
      </c>
      <c r="E2104" t="str">
        <f t="shared" si="2102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1.43238914022726E-3</v>
      </c>
      <c r="J2104" s="1">
        <f>'[2]Electricity and CHPs_NCAP'!F$46</f>
        <v>1.03354610648951E-6</v>
      </c>
      <c r="K2104" s="1">
        <f>'[2]Electricity and CHPs_NCAP'!G$46</f>
        <v>2.26283376824034E-2</v>
      </c>
      <c r="L2104" s="1">
        <f>'[2]Electricity and CHPs_NCAP'!H$46</f>
        <v>5.8273256851949697E-3</v>
      </c>
      <c r="N2104" s="1"/>
    </row>
    <row r="2105" spans="2:14" x14ac:dyDescent="0.35">
      <c r="B2105" s="5" t="str">
        <f t="shared" si="2093"/>
        <v>SPS1</v>
      </c>
      <c r="C2105" s="5" t="str">
        <f t="shared" si="2090"/>
        <v>CH</v>
      </c>
      <c r="D2105" t="s">
        <v>2234</v>
      </c>
      <c r="E2105" t="str">
        <f t="shared" si="2102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6.3383339114771199E-6</v>
      </c>
      <c r="J2105" s="1">
        <f>'[2]Electricity and CHPs_NCAP'!F$57</f>
        <v>3.23659185856742E-5</v>
      </c>
      <c r="K2105" s="1">
        <f>'[2]Electricity and CHPs_NCAP'!G$57</f>
        <v>1.4705329072127501E-3</v>
      </c>
      <c r="L2105" s="1">
        <f>'[2]Electricity and CHPs_NCAP'!H$57</f>
        <v>7.9603929604433293E-6</v>
      </c>
      <c r="N2105" s="1"/>
    </row>
    <row r="2106" spans="2:14" x14ac:dyDescent="0.35">
      <c r="B2106" s="5" t="str">
        <f t="shared" si="2093"/>
        <v>SPS1</v>
      </c>
      <c r="C2106" s="5" t="str">
        <f t="shared" si="2090"/>
        <v>CH</v>
      </c>
      <c r="D2106" t="s">
        <v>2235</v>
      </c>
      <c r="E2106" t="str">
        <f t="shared" si="2102"/>
        <v>GWe/yr.</v>
      </c>
      <c r="F2106" s="1">
        <f t="shared" ref="F2106:K2106" si="2112">SUM(F2107:F2113)</f>
        <v>5.5006913507686973E-3</v>
      </c>
      <c r="G2106" s="1">
        <f t="shared" si="2112"/>
        <v>9.2887469431755478E-6</v>
      </c>
      <c r="H2106" s="1">
        <f t="shared" si="2112"/>
        <v>0.40626797303246753</v>
      </c>
      <c r="I2106" s="1">
        <f t="shared" si="2112"/>
        <v>0.2993390157968191</v>
      </c>
      <c r="J2106" s="1">
        <f t="shared" si="2112"/>
        <v>0.26660313662580404</v>
      </c>
      <c r="K2106" s="1">
        <f t="shared" si="2112"/>
        <v>0.51285210591300801</v>
      </c>
      <c r="L2106" s="1">
        <f t="shared" ref="L2106" si="2113">SUM(L2107:L2113)</f>
        <v>0.69963226011387702</v>
      </c>
      <c r="N2106" s="1"/>
    </row>
    <row r="2107" spans="2:14" x14ac:dyDescent="0.35">
      <c r="B2107" s="5" t="str">
        <f t="shared" si="2093"/>
        <v>SPS1</v>
      </c>
      <c r="C2107" s="5" t="str">
        <f t="shared" si="2090"/>
        <v>CH</v>
      </c>
      <c r="D2107" t="s">
        <v>2236</v>
      </c>
      <c r="E2107" t="str">
        <f t="shared" si="2102"/>
        <v>GWe/yr.</v>
      </c>
      <c r="F2107" s="1">
        <f>'[1]Electricity and CHPs_NCAP'!B$63</f>
        <v>0</v>
      </c>
      <c r="G2107" s="1">
        <f>'[1]Electricity and CHPs_NCAP'!C$63</f>
        <v>5.2157888224689704E-7</v>
      </c>
      <c r="H2107" s="1">
        <f>'[1]Electricity and CHPs_NCAP'!D$63</f>
        <v>5.1897878658279196E-7</v>
      </c>
      <c r="I2107" s="1">
        <f>'[1]Electricity and CHPs_NCAP'!E$63</f>
        <v>5.1284635732976201E-7</v>
      </c>
      <c r="J2107" s="1">
        <f>'[2]Electricity and CHPs_NCAP'!F$63</f>
        <v>2.20814810419915E-7</v>
      </c>
      <c r="K2107" s="1">
        <f>'[2]Electricity and CHPs_NCAP'!G$63</f>
        <v>2.5138423075789502E-7</v>
      </c>
      <c r="L2107" s="1">
        <f>'[2]Electricity and CHPs_NCAP'!H$63</f>
        <v>1.70672279593832E-7</v>
      </c>
      <c r="N2107" s="1"/>
    </row>
    <row r="2108" spans="2:14" x14ac:dyDescent="0.35">
      <c r="B2108" s="5" t="str">
        <f t="shared" si="2093"/>
        <v>SPS1</v>
      </c>
      <c r="C2108" s="5" t="str">
        <f t="shared" si="2090"/>
        <v>CH</v>
      </c>
      <c r="D2108" t="s">
        <v>2237</v>
      </c>
      <c r="E2108" t="str">
        <f t="shared" si="2102"/>
        <v>GWe/yr.</v>
      </c>
      <c r="F2108" s="1">
        <f>'[1]Electricity and CHPs_NCAP'!B$64</f>
        <v>8.9249768425911499E-4</v>
      </c>
      <c r="G2108" s="1">
        <f>'[1]Electricity and CHPs_NCAP'!C$64</f>
        <v>1.25181825878667E-6</v>
      </c>
      <c r="H2108" s="1">
        <f>'[1]Electricity and CHPs_NCAP'!D$64</f>
        <v>5.7163117513129701E-3</v>
      </c>
      <c r="I2108" s="1">
        <f>'[1]Electricity and CHPs_NCAP'!E$64</f>
        <v>2.0208713622328799E-2</v>
      </c>
      <c r="J2108" s="1">
        <f>'[2]Electricity and CHPs_NCAP'!F$64</f>
        <v>3.7256863359910399E-3</v>
      </c>
      <c r="K2108" s="1">
        <f>'[2]Electricity and CHPs_NCAP'!G$64</f>
        <v>7.5453300645168097E-3</v>
      </c>
      <c r="L2108" s="1">
        <f>'[2]Electricity and CHPs_NCAP'!H$64</f>
        <v>8.9903761226463996E-3</v>
      </c>
      <c r="N2108" s="1"/>
    </row>
    <row r="2109" spans="2:14" x14ac:dyDescent="0.35">
      <c r="B2109" s="5" t="str">
        <f t="shared" si="2093"/>
        <v>SPS1</v>
      </c>
      <c r="C2109" s="5" t="str">
        <f t="shared" si="2090"/>
        <v>CH</v>
      </c>
      <c r="D2109" t="s">
        <v>2238</v>
      </c>
      <c r="E2109" t="str">
        <f t="shared" si="2102"/>
        <v>GWe/yr.</v>
      </c>
      <c r="F2109" s="1">
        <f>'[1]Electricity and CHPs_NCAP'!B$65</f>
        <v>7.1107342805583904E-4</v>
      </c>
      <c r="G2109" s="1">
        <f>'[1]Electricity and CHPs_NCAP'!C$65</f>
        <v>1.10705882905383E-6</v>
      </c>
      <c r="H2109" s="1">
        <f>'[1]Electricity and CHPs_NCAP'!D$65</f>
        <v>3.38421962565072E-3</v>
      </c>
      <c r="I2109" s="1">
        <f>'[1]Electricity and CHPs_NCAP'!E$65</f>
        <v>9.8359570142899297E-3</v>
      </c>
      <c r="J2109" s="1">
        <f>'[2]Electricity and CHPs_NCAP'!F$65</f>
        <v>8.6096602938541995E-3</v>
      </c>
      <c r="K2109" s="1">
        <f>'[2]Electricity and CHPs_NCAP'!G$65</f>
        <v>1.7337563960777399E-2</v>
      </c>
      <c r="L2109" s="1">
        <f>'[2]Electricity and CHPs_NCAP'!H$65</f>
        <v>1.6535310471747899E-2</v>
      </c>
      <c r="N2109" s="1"/>
    </row>
    <row r="2110" spans="2:14" x14ac:dyDescent="0.35">
      <c r="B2110" s="5" t="str">
        <f t="shared" si="2093"/>
        <v>SPS1</v>
      </c>
      <c r="C2110" s="5" t="str">
        <f t="shared" si="2090"/>
        <v>CH</v>
      </c>
      <c r="D2110" t="s">
        <v>2239</v>
      </c>
      <c r="E2110" t="str">
        <f t="shared" si="2102"/>
        <v>GWe/yr.</v>
      </c>
      <c r="F2110" s="1">
        <f>'[1]Electricity and CHPs_NCAP'!B$66</f>
        <v>6.4867603736376101E-4</v>
      </c>
      <c r="G2110" s="1">
        <f>'[1]Electricity and CHPs_NCAP'!C$66</f>
        <v>1.0598182475617601E-6</v>
      </c>
      <c r="H2110" s="1">
        <f>'[1]Electricity and CHPs_NCAP'!D$66</f>
        <v>6.8856369171422002E-2</v>
      </c>
      <c r="I2110" s="1">
        <f>'[1]Electricity and CHPs_NCAP'!E$66</f>
        <v>4.3885047630975602E-2</v>
      </c>
      <c r="J2110" s="1">
        <f>'[2]Electricity and CHPs_NCAP'!F$66</f>
        <v>4.35877833179905E-2</v>
      </c>
      <c r="K2110" s="1">
        <f>'[2]Electricity and CHPs_NCAP'!G$66</f>
        <v>8.1764651797591903E-2</v>
      </c>
      <c r="L2110" s="1">
        <f>'[2]Electricity and CHPs_NCAP'!H$66</f>
        <v>0.11309505445264501</v>
      </c>
      <c r="N2110" s="1"/>
    </row>
    <row r="2111" spans="2:14" x14ac:dyDescent="0.35">
      <c r="B2111" s="5" t="str">
        <f t="shared" si="2093"/>
        <v>SPS1</v>
      </c>
      <c r="C2111" s="5" t="str">
        <f t="shared" si="2090"/>
        <v>CH</v>
      </c>
      <c r="D2111" t="s">
        <v>2240</v>
      </c>
      <c r="E2111" t="str">
        <f t="shared" si="2102"/>
        <v>GWe/yr.</v>
      </c>
      <c r="F2111" s="1">
        <f>'[1]Electricity and CHPs_NCAP'!B$67</f>
        <v>1.3062274662219969E-3</v>
      </c>
      <c r="G2111" s="1">
        <f>'[1]Electricity and CHPs_NCAP'!C$67</f>
        <v>2.15972177338283E-6</v>
      </c>
      <c r="H2111" s="1">
        <f>'[1]Electricity and CHPs_NCAP'!D$67</f>
        <v>0.1893447106826267</v>
      </c>
      <c r="I2111" s="1">
        <f>'[1]Electricity and CHPs_NCAP'!E$67</f>
        <v>0.14074461101448099</v>
      </c>
      <c r="J2111" s="1">
        <f>'[2]Electricity and CHPs_NCAP'!F$67</f>
        <v>0.1226754022466674</v>
      </c>
      <c r="K2111" s="1">
        <f>'[2]Electricity and CHPs_NCAP'!G$67</f>
        <v>0.24470183853284599</v>
      </c>
      <c r="L2111" s="1">
        <f>'[2]Electricity and CHPs_NCAP'!H$67</f>
        <v>0.336137757465159</v>
      </c>
      <c r="N2111" s="1"/>
    </row>
    <row r="2112" spans="2:14" x14ac:dyDescent="0.35">
      <c r="B2112" s="5" t="str">
        <f t="shared" si="2093"/>
        <v>SPS1</v>
      </c>
      <c r="C2112" s="5" t="str">
        <f t="shared" si="2090"/>
        <v>CH</v>
      </c>
      <c r="D2112" t="s">
        <v>2241</v>
      </c>
      <c r="E2112" t="str">
        <f t="shared" si="2102"/>
        <v>GWe/yr.</v>
      </c>
      <c r="F2112" s="1">
        <f>'[1]Electricity and CHPs_NCAP'!B$68</f>
        <v>1.2743644238887241E-3</v>
      </c>
      <c r="G2112" s="1">
        <f>'[1]Electricity and CHPs_NCAP'!C$68</f>
        <v>2.0773683758772898E-6</v>
      </c>
      <c r="H2112" s="1">
        <f>'[1]Electricity and CHPs_NCAP'!D$68</f>
        <v>1.5534976932845571E-2</v>
      </c>
      <c r="I2112" s="1">
        <f>'[1]Electricity and CHPs_NCAP'!E$68</f>
        <v>4.7326086463603701E-4</v>
      </c>
      <c r="J2112" s="1">
        <f>'[2]Electricity and CHPs_NCAP'!F$68</f>
        <v>9.7268743308695001E-3</v>
      </c>
      <c r="K2112" s="1">
        <f>'[2]Electricity and CHPs_NCAP'!G$68</f>
        <v>9.9780657217351208E-3</v>
      </c>
      <c r="L2112" s="1">
        <f>'[2]Electricity and CHPs_NCAP'!H$68</f>
        <v>1.7269205634289131E-2</v>
      </c>
      <c r="N2112" s="1"/>
    </row>
    <row r="2113" spans="2:14" x14ac:dyDescent="0.35">
      <c r="B2113" s="5" t="str">
        <f t="shared" si="2093"/>
        <v>SPS1</v>
      </c>
      <c r="C2113" s="5" t="str">
        <f t="shared" si="2090"/>
        <v>CH</v>
      </c>
      <c r="D2113" t="s">
        <v>2242</v>
      </c>
      <c r="E2113" t="str">
        <f t="shared" si="2102"/>
        <v>GWe/yr.</v>
      </c>
      <c r="F2113" s="1">
        <f>'[1]Electricity and CHPs_NCAP'!B$69</f>
        <v>6.6785231097926103E-4</v>
      </c>
      <c r="G2113" s="1">
        <f>'[1]Electricity and CHPs_NCAP'!C$69</f>
        <v>1.1113825762662701E-6</v>
      </c>
      <c r="H2113" s="1">
        <f>'[1]Electricity and CHPs_NCAP'!D$69</f>
        <v>0.12343086588982299</v>
      </c>
      <c r="I2113" s="1">
        <f>'[1]Electricity and CHPs_NCAP'!E$69</f>
        <v>8.4190912803750406E-2</v>
      </c>
      <c r="J2113" s="1">
        <f>'[2]Electricity and CHPs_NCAP'!F$69</f>
        <v>7.8277509285620994E-2</v>
      </c>
      <c r="K2113" s="1">
        <f>'[2]Electricity and CHPs_NCAP'!G$69</f>
        <v>0.15152440445130999</v>
      </c>
      <c r="L2113" s="1">
        <f>'[2]Electricity and CHPs_NCAP'!H$69</f>
        <v>0.20760438529510999</v>
      </c>
      <c r="N2113" s="1"/>
    </row>
    <row r="2114" spans="2:14" x14ac:dyDescent="0.35">
      <c r="B2114" s="5" t="str">
        <f>SPS1_NUC_High!B1902</f>
        <v>SPS1</v>
      </c>
      <c r="C2114" s="5" t="str">
        <f>SPS1_NUC_High!C1902</f>
        <v>CH</v>
      </c>
      <c r="D2114" s="2" t="s">
        <v>2243</v>
      </c>
      <c r="E2114" s="2" t="s">
        <v>1972</v>
      </c>
      <c r="F2114" s="3">
        <f t="shared" ref="F2114:K2114" si="2114">SUM(F2115:F2164)</f>
        <v>4.1272284986538415E-4</v>
      </c>
      <c r="G2114" s="3">
        <f t="shared" si="2114"/>
        <v>0.48712436760804795</v>
      </c>
      <c r="H2114" s="3">
        <f t="shared" si="2114"/>
        <v>0.86029688175187147</v>
      </c>
      <c r="I2114" s="3">
        <f t="shared" si="2114"/>
        <v>2.0711021750660898</v>
      </c>
      <c r="J2114" s="3">
        <f t="shared" si="2114"/>
        <v>3.1251252495382693</v>
      </c>
      <c r="K2114" s="3">
        <f t="shared" si="2114"/>
        <v>2.1053012605062271</v>
      </c>
      <c r="L2114" s="3">
        <f t="shared" ref="L2114" si="2115">SUM(L2115:L2164)</f>
        <v>4.5829714763851799</v>
      </c>
      <c r="N2114" s="1"/>
    </row>
    <row r="2115" spans="2:14" x14ac:dyDescent="0.35">
      <c r="B2115" s="5" t="str">
        <f t="shared" ref="B2115:B2146" si="2116">B2114</f>
        <v>SPS1</v>
      </c>
      <c r="C2115" s="5" t="str">
        <f t="shared" ref="C2115:C2146" si="2117">C2114</f>
        <v>CH</v>
      </c>
      <c r="D2115" t="s">
        <v>2244</v>
      </c>
      <c r="E2115" t="str">
        <f t="shared" ref="E2115:E2146" si="2118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6"/>
        <v>SPS1</v>
      </c>
      <c r="C2116" s="5" t="str">
        <f t="shared" si="2117"/>
        <v>CH</v>
      </c>
      <c r="D2116" t="s">
        <v>2245</v>
      </c>
      <c r="E2116" t="str">
        <f t="shared" si="2118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9.4572569427464994E-5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3.79849842393148E-4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2.8737127052314297E-4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0.14741538464414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0.17424638842280399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0.153500114310298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0.29387185376486502</v>
      </c>
      <c r="N2116" s="1"/>
    </row>
    <row r="2117" spans="2:14" x14ac:dyDescent="0.35">
      <c r="B2117" s="5" t="str">
        <f t="shared" si="2116"/>
        <v>SPS1</v>
      </c>
      <c r="C2117" s="5" t="str">
        <f t="shared" si="2117"/>
        <v>CH</v>
      </c>
      <c r="D2117" t="s">
        <v>2246</v>
      </c>
      <c r="E2117" t="str">
        <f t="shared" si="2118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8.2829392555344096E-5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2.6853193177028899E-4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3.4803593609795901E-3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0.59692237832734296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1.2638715483137399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0.63982266783818398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1.4814503191496899</v>
      </c>
      <c r="N2117" s="1"/>
    </row>
    <row r="2118" spans="2:14" x14ac:dyDescent="0.35">
      <c r="B2118" s="5" t="str">
        <f t="shared" si="2116"/>
        <v>SPS1</v>
      </c>
      <c r="C2118" s="5" t="str">
        <f t="shared" si="2117"/>
        <v>CH</v>
      </c>
      <c r="D2118" t="s">
        <v>2247</v>
      </c>
      <c r="E2118" t="str">
        <f t="shared" si="2118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7.1477531460212095E-5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4.9552505418135398E-3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3.8223333814806401E-2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5.1475929031334904E-4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6.3911887905763007E-2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0.42831576267976301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0.89678360767227605</v>
      </c>
      <c r="N2118" s="1"/>
    </row>
    <row r="2119" spans="2:14" x14ac:dyDescent="0.35">
      <c r="B2119" s="5" t="str">
        <f t="shared" si="2116"/>
        <v>SPS1</v>
      </c>
      <c r="C2119" s="5" t="str">
        <f t="shared" si="2117"/>
        <v>CH</v>
      </c>
      <c r="D2119" t="s">
        <v>2248</v>
      </c>
      <c r="E2119" t="str">
        <f t="shared" si="2118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1.63843356422363E-4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8.1437676627028999E-2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0.227829658755617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0.79774446788303899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0.90163344585340799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0.88366098018276595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1.91086351702713</v>
      </c>
      <c r="N2119" s="1"/>
    </row>
    <row r="2120" spans="2:14" x14ac:dyDescent="0.35">
      <c r="B2120" s="5" t="str">
        <f t="shared" si="2116"/>
        <v>SPS1</v>
      </c>
      <c r="C2120" s="5" t="str">
        <f t="shared" si="2117"/>
        <v>CH</v>
      </c>
      <c r="D2120" t="s">
        <v>2249</v>
      </c>
      <c r="E2120" t="str">
        <f t="shared" si="2118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1.1695693339052E-4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8.6452286024419595E-5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1.3874136604766701E-4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8.3549877405173604E-5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6"/>
        <v>SPS1</v>
      </c>
      <c r="C2121" s="5" t="str">
        <f t="shared" si="2117"/>
        <v>CH</v>
      </c>
      <c r="D2121" t="s">
        <v>2250</v>
      </c>
      <c r="E2121" t="str">
        <f t="shared" si="2118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4.5879700738181401E-5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1.10549472841135E-4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1.02217499187755E-3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2.4108735782109699E-4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6"/>
        <v>SPS1</v>
      </c>
      <c r="C2122" s="5" t="str">
        <f t="shared" si="2117"/>
        <v>CH</v>
      </c>
      <c r="D2122" t="s">
        <v>2251</v>
      </c>
      <c r="E2122" t="str">
        <f t="shared" si="2118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1.4316364955925E-2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5.9104094576763397E-2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0.30368790900381099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0.41863598989177803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6"/>
        <v>SPS1</v>
      </c>
      <c r="C2123" s="5" t="str">
        <f t="shared" si="2117"/>
        <v>CH</v>
      </c>
      <c r="D2123" t="s">
        <v>2252</v>
      </c>
      <c r="E2123" t="str">
        <f t="shared" si="2118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2.5039492511093098E-4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2.17235887744316E-4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5.899037720065E-3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1.9557853165780699E-4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6"/>
        <v>SPS1</v>
      </c>
      <c r="C2124" s="5" t="str">
        <f t="shared" si="2117"/>
        <v>CH</v>
      </c>
      <c r="D2124" t="s">
        <v>2253</v>
      </c>
      <c r="E2124" t="str">
        <f t="shared" si="2118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1.26532945845148E-4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8.73014773618774E-5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1.41335713906125E-4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8.3697790872095605E-5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6"/>
        <v>SPS1</v>
      </c>
      <c r="C2125" s="5" t="str">
        <f t="shared" si="2117"/>
        <v>CH</v>
      </c>
      <c r="D2125" t="s">
        <v>2254</v>
      </c>
      <c r="E2125" t="str">
        <f t="shared" si="2118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6.21261899497392E-5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1.26344807813302E-4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1.1454242527236E-3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2.51604144272226E-4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6"/>
        <v>SPS1</v>
      </c>
      <c r="C2126" s="5" t="str">
        <f t="shared" si="2117"/>
        <v>CH</v>
      </c>
      <c r="D2126" t="s">
        <v>2255</v>
      </c>
      <c r="E2126" t="str">
        <f t="shared" si="2118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2.3000675056823398E-2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4.71503632967126E-2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0.21012789933698101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0.30177177906203201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6"/>
        <v>SPS1</v>
      </c>
      <c r="C2127" s="5" t="str">
        <f t="shared" si="2117"/>
        <v>CH</v>
      </c>
      <c r="D2127" t="s">
        <v>2256</v>
      </c>
      <c r="E2127" t="str">
        <f t="shared" si="2118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3.3632965404995098E-4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2.2937074679534099E-4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5.1560028999108401E-3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1.9763470418739199E-4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6"/>
        <v>SPS1</v>
      </c>
      <c r="C2128" s="5" t="str">
        <f t="shared" si="2117"/>
        <v>CH</v>
      </c>
      <c r="D2128" t="s">
        <v>2257</v>
      </c>
      <c r="E2128" t="str">
        <f t="shared" si="2118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4.7648939665091204E-6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2.17176948696872E-6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2.6441110098620701E-7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2.8766752804341299E-7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4.6969436618789502E-7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5.1621091337645799E-7</v>
      </c>
      <c r="N2128" s="1"/>
    </row>
    <row r="2129" spans="2:14" x14ac:dyDescent="0.35">
      <c r="B2129" s="5" t="str">
        <f t="shared" si="2116"/>
        <v>SPS1</v>
      </c>
      <c r="C2129" s="5" t="str">
        <f t="shared" si="2117"/>
        <v>CH</v>
      </c>
      <c r="D2129" t="s">
        <v>2258</v>
      </c>
      <c r="E2129" t="str">
        <f t="shared" si="2118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2.3496243161301699E-6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9.723043500655361E-7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2.3633659098828001E-7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2.7384478730573302E-7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4.33506664909812E-7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5.3416350094594602E-7</v>
      </c>
      <c r="N2129" s="1"/>
    </row>
    <row r="2130" spans="2:14" x14ac:dyDescent="0.35">
      <c r="B2130" s="5" t="str">
        <f t="shared" si="2116"/>
        <v>SPS1</v>
      </c>
      <c r="C2130" s="5" t="str">
        <f t="shared" si="2117"/>
        <v>CH</v>
      </c>
      <c r="D2130" t="s">
        <v>2259</v>
      </c>
      <c r="E2130" t="str">
        <f t="shared" si="2118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1.9338803942341801E-6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7.0696954335691398E-7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1.99482428574528E-7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2.3568574170666399E-7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3.9898405808212402E-7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5.5619310743946902E-7</v>
      </c>
      <c r="N2130" s="1"/>
    </row>
    <row r="2131" spans="2:14" x14ac:dyDescent="0.35">
      <c r="B2131" s="5" t="str">
        <f t="shared" si="2116"/>
        <v>SPS1</v>
      </c>
      <c r="C2131" s="5" t="str">
        <f t="shared" si="2117"/>
        <v>CH</v>
      </c>
      <c r="D2131" t="s">
        <v>2260</v>
      </c>
      <c r="E2131" t="str">
        <f t="shared" si="2118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2.5612446628905799E-6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9.4460523618825399E-7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2.2162136885082001E-7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2.6048447135246299E-7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4.3331012685905101E-7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5.7220369771530203E-7</v>
      </c>
      <c r="N2131" s="1"/>
    </row>
    <row r="2132" spans="2:14" x14ac:dyDescent="0.35">
      <c r="B2132" s="5" t="str">
        <f t="shared" si="2116"/>
        <v>SPS1</v>
      </c>
      <c r="C2132" s="5" t="str">
        <f t="shared" si="2117"/>
        <v>CH</v>
      </c>
      <c r="D2132" t="s">
        <v>2261</v>
      </c>
      <c r="E2132" t="str">
        <f t="shared" si="2118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6"/>
        <v>SPS1</v>
      </c>
      <c r="C2133" s="5" t="str">
        <f t="shared" si="2117"/>
        <v>CH</v>
      </c>
      <c r="D2133" t="s">
        <v>2262</v>
      </c>
      <c r="E2133" t="str">
        <f t="shared" si="2118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2.024999596353378E-4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1.8090392782285018E-4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1.5018779957251779E-4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6"/>
        <v>SPS1</v>
      </c>
      <c r="C2134" s="5" t="str">
        <f t="shared" si="2117"/>
        <v>CH</v>
      </c>
      <c r="D2134" t="s">
        <v>2263</v>
      </c>
      <c r="E2134" t="str">
        <f t="shared" si="2118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1.1652075622399631E-3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8.8456869639264205E-2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8.2328703808051798E-5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6"/>
        <v>SPS1</v>
      </c>
      <c r="C2135" s="5" t="str">
        <f t="shared" si="2117"/>
        <v>CH</v>
      </c>
      <c r="D2135" t="s">
        <v>2264</v>
      </c>
      <c r="E2135" t="str">
        <f t="shared" si="2118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0.18939815957052986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9.6757752169547901E-5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4.2584338231691601E-5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6"/>
        <v>SPS1</v>
      </c>
      <c r="C2136" s="5" t="str">
        <f t="shared" si="2117"/>
        <v>CH</v>
      </c>
      <c r="D2136" t="s">
        <v>2265</v>
      </c>
      <c r="E2136" t="str">
        <f t="shared" si="2118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1.2797133848764801E-4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1.0576079761451999E-4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6.2520819198958496E-5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6"/>
        <v>SPS1</v>
      </c>
      <c r="C2137" s="5" t="str">
        <f t="shared" si="2117"/>
        <v>CH</v>
      </c>
      <c r="D2137" t="s">
        <v>2266</v>
      </c>
      <c r="E2137" t="str">
        <f t="shared" si="2118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6"/>
        <v>SPS1</v>
      </c>
      <c r="C2138" s="5" t="str">
        <f t="shared" si="2117"/>
        <v>CH</v>
      </c>
      <c r="D2138" t="s">
        <v>2267</v>
      </c>
      <c r="E2138" t="str">
        <f t="shared" si="2118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6.3995995755496802E-5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9.1093159528488898E-2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1.0642904634471E-4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6"/>
        <v>SPS1</v>
      </c>
      <c r="C2139" s="5" t="str">
        <f t="shared" si="2117"/>
        <v>CH</v>
      </c>
      <c r="D2139" t="s">
        <v>2268</v>
      </c>
      <c r="E2139" t="str">
        <f t="shared" si="2118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3.6078371210819098E-5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5.4319814159207599E-2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4.8190602584547301E-5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6"/>
        <v>SPS1</v>
      </c>
      <c r="C2140" s="5" t="str">
        <f t="shared" si="2117"/>
        <v>CH</v>
      </c>
      <c r="D2140" t="s">
        <v>2269</v>
      </c>
      <c r="E2140" t="str">
        <f t="shared" si="2118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4.4079463567162402E-5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2.41728132019131E-3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3.3855459287073502E-5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6"/>
        <v>SPS1</v>
      </c>
      <c r="C2141" s="5" t="str">
        <f t="shared" si="2117"/>
        <v>CH</v>
      </c>
      <c r="D2141" t="s">
        <v>2270</v>
      </c>
      <c r="E2141" t="str">
        <f t="shared" si="2118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3.5499256127892502E-5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0.15313237400376101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6.4887402127522501E-5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6"/>
        <v>SPS1</v>
      </c>
      <c r="C2142" s="5" t="str">
        <f t="shared" si="2117"/>
        <v>CH</v>
      </c>
      <c r="D2142" t="s">
        <v>2271</v>
      </c>
      <c r="E2142" t="str">
        <f t="shared" si="2118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2.6917948218052799E-5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6.3082230315570194E-5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5.9504971004782302E-5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6"/>
        <v>SPS1</v>
      </c>
      <c r="C2143" s="5" t="str">
        <f t="shared" si="2117"/>
        <v>CH</v>
      </c>
      <c r="D2143" t="s">
        <v>2272</v>
      </c>
      <c r="E2143" t="str">
        <f t="shared" si="2118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1.33762308555131E-5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4.0667959993010801E-5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3.2242369587953999E-5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6"/>
        <v>SPS1</v>
      </c>
      <c r="C2144" s="5" t="str">
        <f t="shared" si="2117"/>
        <v>CH</v>
      </c>
      <c r="D2144" t="s">
        <v>2273</v>
      </c>
      <c r="E2144" t="str">
        <f t="shared" si="2118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1.4003471678852201E-5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3.5626534280772497E-5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2.39281063372198E-5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6"/>
        <v>SPS1</v>
      </c>
      <c r="C2145" s="5" t="str">
        <f t="shared" si="2117"/>
        <v>CH</v>
      </c>
      <c r="D2145" t="s">
        <v>2274</v>
      </c>
      <c r="E2145" t="str">
        <f t="shared" si="2118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1.8492560658113999E-5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5.33716259041647E-5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3.8882030911214497E-5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6"/>
        <v>SPS1</v>
      </c>
      <c r="C2146" s="5" t="str">
        <f t="shared" si="2117"/>
        <v>CH</v>
      </c>
      <c r="D2146" t="s">
        <v>2275</v>
      </c>
      <c r="E2146" t="str">
        <f t="shared" si="2118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9">B2146</f>
        <v>SPS1</v>
      </c>
      <c r="C2147" s="5" t="str">
        <f t="shared" ref="C2147:C2164" si="2120">C2146</f>
        <v>CH</v>
      </c>
      <c r="D2147" t="s">
        <v>2276</v>
      </c>
      <c r="E2147" t="str">
        <f t="shared" ref="E2147:E2164" si="2121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3.3003066359721701E-2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1.9446923799540971E-4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1.0643802455276741E-4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9"/>
        <v>SPS1</v>
      </c>
      <c r="C2148" s="5" t="str">
        <f t="shared" si="2120"/>
        <v>CH</v>
      </c>
      <c r="D2148" t="s">
        <v>2277</v>
      </c>
      <c r="E2148" t="str">
        <f t="shared" si="2121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0.13723649880971581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9.2696660340153253E-2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6.0471469097349802E-5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9"/>
        <v>SPS1</v>
      </c>
      <c r="C2149" s="5" t="str">
        <f t="shared" si="2120"/>
        <v>CH</v>
      </c>
      <c r="D2149" t="s">
        <v>2278</v>
      </c>
      <c r="E2149" t="str">
        <f t="shared" si="2121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1.045423528426384E-4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7.3624598617855696E-5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3.5099899633759202E-5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9"/>
        <v>SPS1</v>
      </c>
      <c r="C2150" s="5" t="str">
        <f t="shared" si="2120"/>
        <v>CH</v>
      </c>
      <c r="D2150" t="s">
        <v>2279</v>
      </c>
      <c r="E2150" t="str">
        <f t="shared" si="2121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1.268226488681438E-4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7.2935408340266404E-5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3.5511349260071797E-5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9"/>
        <v>SPS1</v>
      </c>
      <c r="C2151" s="5" t="str">
        <f t="shared" si="2120"/>
        <v>CH</v>
      </c>
      <c r="D2151" t="s">
        <v>2280</v>
      </c>
      <c r="E2151" t="str">
        <f t="shared" si="2121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9"/>
        <v>SPS1</v>
      </c>
      <c r="C2152" s="5" t="str">
        <f t="shared" si="2120"/>
        <v>CH</v>
      </c>
      <c r="D2152" t="s">
        <v>2281</v>
      </c>
      <c r="E2152" t="str">
        <f t="shared" si="2121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6.4633438538600402E-5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7.9975592394786605E-5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3.9249312305170897E-5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9"/>
        <v>SPS1</v>
      </c>
      <c r="C2153" s="5" t="str">
        <f t="shared" si="2120"/>
        <v>CH</v>
      </c>
      <c r="D2153" t="s">
        <v>2282</v>
      </c>
      <c r="E2153" t="str">
        <f t="shared" si="2121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2.6020367782345701E-5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4.8796829824054698E-5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2.2192631059177601E-5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9"/>
        <v>SPS1</v>
      </c>
      <c r="C2154" s="5" t="str">
        <f t="shared" si="2120"/>
        <v>CH</v>
      </c>
      <c r="D2154" t="s">
        <v>2283</v>
      </c>
      <c r="E2154" t="str">
        <f t="shared" si="2121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2.2465014411733199E-5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3.50910940855735E-5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1.6758398568601999E-5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9"/>
        <v>SPS1</v>
      </c>
      <c r="C2155" s="5" t="str">
        <f t="shared" si="2120"/>
        <v>CH</v>
      </c>
      <c r="D2155" t="s">
        <v>2284</v>
      </c>
      <c r="E2155" t="str">
        <f t="shared" si="2121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1.08090707752088E-5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1.9845515063994501E-5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1.43326688694112E-5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9"/>
        <v>SPS1</v>
      </c>
      <c r="C2156" s="5" t="str">
        <f t="shared" si="2120"/>
        <v>CH</v>
      </c>
      <c r="D2156" t="s">
        <v>2285</v>
      </c>
      <c r="E2156" t="str">
        <f t="shared" si="2121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2.4729382721200699E-5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4.9552454321687702E-5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4.7104821010011002E-5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9"/>
        <v>SPS1</v>
      </c>
      <c r="C2157" s="5" t="str">
        <f t="shared" si="2120"/>
        <v>CH</v>
      </c>
      <c r="D2157" t="s">
        <v>2286</v>
      </c>
      <c r="E2157" t="str">
        <f t="shared" si="2121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1.24324133197901E-5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3.2004102612565499E-5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2.62046452347413E-5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9"/>
        <v>SPS1</v>
      </c>
      <c r="C2158" s="5" t="str">
        <f t="shared" si="2120"/>
        <v>CH</v>
      </c>
      <c r="D2158" t="s">
        <v>2287</v>
      </c>
      <c r="E2158" t="str">
        <f t="shared" si="2121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1.2638923444340501E-5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2.72564172322276E-5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1.9440232115446201E-5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9"/>
        <v>SPS1</v>
      </c>
      <c r="C2159" s="5" t="str">
        <f t="shared" si="2120"/>
        <v>CH</v>
      </c>
      <c r="D2159" t="s">
        <v>2288</v>
      </c>
      <c r="E2159" t="str">
        <f t="shared" si="2121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1.08813902791438E-5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1.9718352958059701E-5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1.5899095186019099E-5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9"/>
        <v>SPS1</v>
      </c>
      <c r="C2160" s="5" t="str">
        <f t="shared" si="2120"/>
        <v>CH</v>
      </c>
      <c r="D2160" t="s">
        <v>2289</v>
      </c>
      <c r="E2160" t="str">
        <f t="shared" si="2121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9"/>
        <v>SPS1</v>
      </c>
      <c r="C2161" s="5" t="str">
        <f t="shared" si="2120"/>
        <v>CH</v>
      </c>
      <c r="D2161" t="s">
        <v>2290</v>
      </c>
      <c r="E2161" t="str">
        <f t="shared" si="2121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4.5864592729418504E-6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4.3551880200213397E-6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3.54373325745163E-7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9"/>
        <v>SPS1</v>
      </c>
      <c r="C2162" s="5" t="str">
        <f t="shared" si="2120"/>
        <v>CH</v>
      </c>
      <c r="D2162" t="s">
        <v>2291</v>
      </c>
      <c r="E2162" t="str">
        <f t="shared" si="2121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2.8451626831661999E-6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3.0725444890786298E-6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3.6766852747673398E-7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9"/>
        <v>SPS1</v>
      </c>
      <c r="C2163" s="5" t="str">
        <f t="shared" si="2120"/>
        <v>CH</v>
      </c>
      <c r="D2163" t="s">
        <v>2292</v>
      </c>
      <c r="E2163" t="str">
        <f t="shared" si="2121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3.4194771480589998E-6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3.18327364330552E-6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3.80527797683639E-7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9"/>
        <v>SPS1</v>
      </c>
      <c r="C2164" s="5" t="str">
        <f t="shared" si="2120"/>
        <v>CH</v>
      </c>
      <c r="D2164" t="s">
        <v>2293</v>
      </c>
      <c r="E2164" t="str">
        <f t="shared" si="2121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3.5156593799117998E-6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3.4399205066200302E-6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3.91018902159688E-7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SPS1_NUC_High!B1953</f>
        <v>SPS1</v>
      </c>
      <c r="C2165" s="5" t="str">
        <f>SPS1_NUC_High!C1953</f>
        <v>CH</v>
      </c>
      <c r="D2165" s="2" t="s">
        <v>2294</v>
      </c>
      <c r="E2165" s="2" t="s">
        <v>1999</v>
      </c>
      <c r="F2165" s="3">
        <f t="shared" ref="F2165:K2165" si="2122">SUM(F2166:F2188)</f>
        <v>0</v>
      </c>
      <c r="G2165" s="3">
        <f t="shared" si="2122"/>
        <v>0.7038877527547962</v>
      </c>
      <c r="H2165" s="3">
        <f t="shared" si="2122"/>
        <v>1.5534332643385114</v>
      </c>
      <c r="I2165" s="3">
        <f t="shared" si="2122"/>
        <v>6.6471518197585304</v>
      </c>
      <c r="J2165" s="3">
        <f t="shared" si="2122"/>
        <v>4.1587943539713095</v>
      </c>
      <c r="K2165" s="3">
        <f t="shared" si="2122"/>
        <v>3.0864387862410512</v>
      </c>
      <c r="L2165" s="3">
        <f t="shared" ref="L2165" si="2123">SUM(L2166:L2188)</f>
        <v>6.0155720333446769</v>
      </c>
      <c r="N2165" s="1"/>
    </row>
    <row r="2166" spans="2:14" x14ac:dyDescent="0.35">
      <c r="B2166" s="5" t="str">
        <f t="shared" ref="B2166:B2197" si="2124">B2165</f>
        <v>SPS1</v>
      </c>
      <c r="C2166" s="5" t="str">
        <f t="shared" ref="C2166:C2197" si="2125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4"/>
        <v>SPS1</v>
      </c>
      <c r="C2167" s="5" t="str">
        <f t="shared" si="2125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0.25148883428798596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1.42701410266503E-2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1.9933739483514699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2.6443040021118698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0.23206935471183102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2.4599989871863701</v>
      </c>
      <c r="N2167" s="1"/>
    </row>
    <row r="2168" spans="2:14" x14ac:dyDescent="0.35">
      <c r="B2168" s="5" t="str">
        <f t="shared" si="2124"/>
        <v>SPS1</v>
      </c>
      <c r="C2168" s="5" t="str">
        <f t="shared" si="2125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5.6908672199783702E-3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1.16870561057941E-2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0.73220847925514199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0.70133255895167201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0.11116866397759499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0.69168982643146393</v>
      </c>
      <c r="N2168" s="1"/>
    </row>
    <row r="2169" spans="2:14" x14ac:dyDescent="0.35">
      <c r="B2169" s="5" t="str">
        <f t="shared" si="2124"/>
        <v>SPS1</v>
      </c>
      <c r="C2169" s="5" t="str">
        <f t="shared" si="2125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2.2689462883597198E-3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1.08775994757141E-2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3.4885118193923401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0.81250518109882308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2.7428893502975402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2.8637475167349198</v>
      </c>
      <c r="N2169" s="1"/>
    </row>
    <row r="2170" spans="2:14" x14ac:dyDescent="0.35">
      <c r="B2170" s="5" t="str">
        <f t="shared" si="2124"/>
        <v>SPS1</v>
      </c>
      <c r="C2170" s="5" t="str">
        <f t="shared" si="2125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3.5795074510387601E-4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5.1363533639816499E-4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0.43304438554667801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5.6296917186384897E-4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3.1141725408506205E-4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1.3570299192244199E-4</v>
      </c>
      <c r="N2170" s="1"/>
    </row>
    <row r="2171" spans="2:14" x14ac:dyDescent="0.35">
      <c r="B2171" s="5" t="str">
        <f t="shared" si="2124"/>
        <v>SPS1</v>
      </c>
      <c r="C2171" s="5" t="str">
        <f t="shared" si="2125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1.3187212900772799E-5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4"/>
        <v>SPS1</v>
      </c>
      <c r="C2172" s="5" t="str">
        <f t="shared" si="2125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4"/>
        <v>SPS1</v>
      </c>
      <c r="C2173" s="5" t="str">
        <f t="shared" si="2125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4"/>
        <v>SPS1</v>
      </c>
      <c r="C2174" s="5" t="str">
        <f t="shared" si="2125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4"/>
        <v>SPS1</v>
      </c>
      <c r="C2175" s="5" t="str">
        <f t="shared" si="2125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0.37689203488428202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2.5424025241976198E-3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1.24446733511077E-5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24"/>
        <v>SPS1</v>
      </c>
      <c r="C2176" s="5" t="str">
        <f t="shared" si="2125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1.8537143008271798E-3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9.8034741531775318E-4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1.2432065044894501E-5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24"/>
        <v>SPS1</v>
      </c>
      <c r="C2177" s="5" t="str">
        <f t="shared" si="2125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1.93253617236618E-3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6.5293728132397705E-4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24"/>
        <v>SPS1</v>
      </c>
      <c r="C2178" s="5" t="str">
        <f t="shared" si="2125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4.9571384571585599E-5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4.38983187485961E-5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24"/>
        <v>SPS1</v>
      </c>
      <c r="C2179" s="5" t="str">
        <f t="shared" si="2125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4"/>
        <v>SPS1</v>
      </c>
      <c r="C2180" s="5" t="str">
        <f t="shared" si="2125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2.55366436370888E-2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0.51188401304548603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1.2391401581808701E-5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24"/>
        <v>SPS1</v>
      </c>
      <c r="C2181" s="5" t="str">
        <f t="shared" si="2125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3.48761548808954E-3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0.17475343070406402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2.1923858032136898E-5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24"/>
        <v>SPS1</v>
      </c>
      <c r="C2182" s="5" t="str">
        <f t="shared" si="2125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3.1716348809021203E-2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0.79305306377144802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24"/>
        <v>SPS1</v>
      </c>
      <c r="C2183" s="5" t="str">
        <f t="shared" si="2125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4.9962590089700899E-5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5.38254413121196E-5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4"/>
        <v>SPS1</v>
      </c>
      <c r="C2184" s="5" t="str">
        <f t="shared" si="2125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4"/>
        <v>SPS1</v>
      </c>
      <c r="C2185" s="5" t="str">
        <f t="shared" si="2125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1.3747147245805199E-3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9.2661489772155701E-4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1.3375628187521601E-5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0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24"/>
        <v>SPS1</v>
      </c>
      <c r="C2186" s="5" t="str">
        <f t="shared" si="2125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6.7583577167395906E-4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1.27777207315646E-3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1.7075010882500801E-5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24"/>
        <v>SPS1</v>
      </c>
      <c r="C2187" s="5" t="str">
        <f t="shared" si="2125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4.7820663077699906E-4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2.9867087558444902E-2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24"/>
        <v>SPS1</v>
      </c>
      <c r="C2188" s="5" t="str">
        <f t="shared" si="2125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3.3969820000565604E-5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4.9439362733706196E-5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4"/>
        <v>SPS1</v>
      </c>
      <c r="C2189" s="5" t="str">
        <f t="shared" si="2125"/>
        <v>CH</v>
      </c>
      <c r="D2189" s="2" t="s">
        <v>2318</v>
      </c>
      <c r="E2189" s="2" t="s">
        <v>1999</v>
      </c>
      <c r="F2189" s="3">
        <f t="shared" ref="F2189:K2189" si="2126">SUM(F2190:F2212)</f>
        <v>0</v>
      </c>
      <c r="G2189" s="3">
        <f t="shared" si="2126"/>
        <v>0.50663117536639746</v>
      </c>
      <c r="H2189" s="3">
        <f t="shared" si="2126"/>
        <v>0.21217408120048104</v>
      </c>
      <c r="I2189" s="3">
        <f t="shared" si="2126"/>
        <v>2.9222567548787128</v>
      </c>
      <c r="J2189" s="3">
        <f t="shared" si="2126"/>
        <v>2.2985687685381664</v>
      </c>
      <c r="K2189" s="3">
        <f t="shared" si="2126"/>
        <v>0.62489552655022562</v>
      </c>
      <c r="L2189" s="3">
        <f t="shared" ref="L2189" si="2127">SUM(L2190:L2212)</f>
        <v>2.2547892749858178</v>
      </c>
      <c r="N2189" s="1"/>
    </row>
    <row r="2190" spans="2:14" x14ac:dyDescent="0.35">
      <c r="B2190" s="5" t="str">
        <f t="shared" si="2124"/>
        <v>SPS1</v>
      </c>
      <c r="C2190" s="5" t="str">
        <f t="shared" si="2125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4"/>
        <v>SPS1</v>
      </c>
      <c r="C2191" s="5" t="str">
        <f t="shared" si="2125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4.0618067331280504E-2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7.8697690911797395E-3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1.4103183812389901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1.3963052588349301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1.2442771218993801E-2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1.1983514965862401</v>
      </c>
      <c r="N2191" s="1"/>
    </row>
    <row r="2192" spans="2:14" x14ac:dyDescent="0.35">
      <c r="B2192" s="5" t="str">
        <f t="shared" si="2124"/>
        <v>SPS1</v>
      </c>
      <c r="C2192" s="5" t="str">
        <f t="shared" si="2125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1.51143888741934E-3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1.9563939995698998E-3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1.2456269496635901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0.82873432937727509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0.41775929866817002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0.86240396774938399</v>
      </c>
      <c r="N2192" s="1"/>
    </row>
    <row r="2193" spans="2:14" x14ac:dyDescent="0.35">
      <c r="B2193" s="5" t="str">
        <f t="shared" si="2124"/>
        <v>SPS1</v>
      </c>
      <c r="C2193" s="5" t="str">
        <f t="shared" si="2125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5.3384333410531892E-4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7.3627809528588599E-4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0.26613504744889804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7.3282298179007097E-2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0.194144651095006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0.19388804685285502</v>
      </c>
      <c r="N2193" s="1"/>
    </row>
    <row r="2194" spans="2:14" x14ac:dyDescent="0.35">
      <c r="B2194" s="5" t="str">
        <f t="shared" si="2124"/>
        <v>SPS1</v>
      </c>
      <c r="C2194" s="5" t="str">
        <f t="shared" si="2125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2.5083869375730901E-4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2.09110502374614E-4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1.5536911436050401E-4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1.71847932767182E-4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3.2338507919232602E-4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1.4576379733871402E-4</v>
      </c>
      <c r="N2194" s="1"/>
    </row>
    <row r="2195" spans="2:14" x14ac:dyDescent="0.35">
      <c r="B2195" s="5" t="str">
        <f t="shared" si="2124"/>
        <v>SPS1</v>
      </c>
      <c r="C2195" s="5" t="str">
        <f t="shared" si="2125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4"/>
        <v>SPS1</v>
      </c>
      <c r="C2196" s="5" t="str">
        <f t="shared" si="2125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4"/>
        <v>SPS1</v>
      </c>
      <c r="C2197" s="5" t="str">
        <f t="shared" si="2125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1.0093669582164599E-5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8">B2197</f>
        <v>SPS1</v>
      </c>
      <c r="C2198" s="5" t="str">
        <f t="shared" ref="C2198:C2232" si="2129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8"/>
        <v>SPS1</v>
      </c>
      <c r="C2199" s="5" t="str">
        <f t="shared" si="2129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2.4369462773738002E-2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2.2366317388501302E-3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2.7778580784982103E-5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3.6459643992186398E-5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28"/>
        <v>SPS1</v>
      </c>
      <c r="C2200" s="5" t="str">
        <f t="shared" si="2129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8.8588983863240392E-4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7.4008243605850699E-4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0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3.68056172344815E-5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28"/>
        <v>SPS1</v>
      </c>
      <c r="C2201" s="5" t="str">
        <f t="shared" si="2129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3.9264983924227698E-4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2.9900717783131299E-4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1.0913743292177599E-5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28"/>
        <v>SPS1</v>
      </c>
      <c r="C2202" s="5" t="str">
        <f t="shared" si="2129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7.55761675194845E-5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7.0007677890464597E-5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8"/>
        <v>SPS1</v>
      </c>
      <c r="C2203" s="5" t="str">
        <f t="shared" si="2129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8"/>
        <v>SPS1</v>
      </c>
      <c r="C2204" s="5" t="str">
        <f t="shared" si="2129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0.43387457670047402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0.19381981445563301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2.7164442920964499E-5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4.6198459179054298E-5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8"/>
        <v>SPS1</v>
      </c>
      <c r="C2205" s="5" t="str">
        <f t="shared" si="2129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1.1245862412301501E-3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1.74069946133123E-3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4.68543067686334E-5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8"/>
        <v>SPS1</v>
      </c>
      <c r="C2206" s="5" t="str">
        <f t="shared" si="2129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4.7625730490950498E-4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5.07841450512536E-4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8"/>
        <v>SPS1</v>
      </c>
      <c r="C2207" s="5" t="str">
        <f t="shared" si="2129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7.5273338757764891E-5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8.3654505369005198E-5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8"/>
        <v>SPS1</v>
      </c>
      <c r="C2208" s="5" t="str">
        <f t="shared" si="2129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8"/>
        <v>SPS1</v>
      </c>
      <c r="C2209" s="5" t="str">
        <f t="shared" si="2129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1.6172626663415199E-3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7.9089199197861508E-4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2.0091190481393098E-5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2.8829137633068402E-5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8"/>
        <v>SPS1</v>
      </c>
      <c r="C2210" s="5" t="str">
        <f t="shared" si="2129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4.9855334854726201E-4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6.4387991236296207E-4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3.0273324056007901E-5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8"/>
        <v>SPS1</v>
      </c>
      <c r="C2211" s="5" t="str">
        <f t="shared" si="2129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2.7166156158866996E-4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3.9368813415160096E-4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8"/>
        <v>SPS1</v>
      </c>
      <c r="C2212" s="5" t="str">
        <f t="shared" si="2129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5.52373388538742E-5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7.6330570101502406E-5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8"/>
        <v>SPS1</v>
      </c>
      <c r="C2213" s="5" t="str">
        <f t="shared" si="2129"/>
        <v>CH</v>
      </c>
      <c r="D2213" s="2" t="s">
        <v>2342</v>
      </c>
      <c r="E2213" s="2" t="s">
        <v>1999</v>
      </c>
      <c r="F2213" s="3">
        <f t="shared" ref="F2213:K2213" si="2130">SUM(F2214:F2222)</f>
        <v>2.73466608945662E-4</v>
      </c>
      <c r="G2213" s="3">
        <f t="shared" si="2130"/>
        <v>15.040961010419007</v>
      </c>
      <c r="H2213" s="3">
        <f t="shared" si="2130"/>
        <v>63.150362693949972</v>
      </c>
      <c r="I2213" s="3">
        <f t="shared" si="2130"/>
        <v>170.20462945068985</v>
      </c>
      <c r="J2213" s="3">
        <f t="shared" si="2130"/>
        <v>240.0346555423472</v>
      </c>
      <c r="K2213" s="3">
        <f t="shared" si="2130"/>
        <v>217.15319161564801</v>
      </c>
      <c r="L2213" s="3">
        <f t="shared" ref="L2213" si="2131">SUM(L2214:L2222)</f>
        <v>385.83245628966102</v>
      </c>
      <c r="N2213" s="1"/>
    </row>
    <row r="2214" spans="2:14" x14ac:dyDescent="0.35">
      <c r="B2214" s="5" t="str">
        <f t="shared" si="2128"/>
        <v>SPS1</v>
      </c>
      <c r="C2214" s="5" t="str">
        <f t="shared" si="2129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8"/>
        <v>SPS1</v>
      </c>
      <c r="C2215" s="5" t="str">
        <f t="shared" si="2129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1.1817309206117599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1.83710115314209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76.008023301239305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240.03452301422701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217.15304015088998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385.83226108474599</v>
      </c>
      <c r="N2215" s="1"/>
    </row>
    <row r="2216" spans="2:14" x14ac:dyDescent="0.35">
      <c r="B2216" s="5" t="str">
        <f t="shared" si="2128"/>
        <v>SPS1</v>
      </c>
      <c r="C2216" s="5" t="str">
        <f t="shared" si="2129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1.3749976797346099E-3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1.15042420157405E-4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1.32528120193806E-4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1.5146475803158702E-4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1.9520491500237401E-4</v>
      </c>
      <c r="N2216" s="1"/>
    </row>
    <row r="2217" spans="2:14" x14ac:dyDescent="0.35">
      <c r="B2217" s="5" t="str">
        <f t="shared" si="2128"/>
        <v>SPS1</v>
      </c>
      <c r="C2217" s="5" t="str">
        <f t="shared" si="2129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8"/>
        <v>SPS1</v>
      </c>
      <c r="C2218" s="5" t="str">
        <f t="shared" si="2129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8.8838527698091294E-2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12.3840199032988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27.4990237708951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8"/>
        <v>SPS1</v>
      </c>
      <c r="C2219" s="5" t="str">
        <f t="shared" si="2129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8"/>
        <v>SPS1</v>
      </c>
      <c r="C2220" s="5" t="str">
        <f t="shared" si="2129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2.8644561727441901E-2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0.10773997220083499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7.4211894794986397E-2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28"/>
        <v>SPS1</v>
      </c>
      <c r="C2221" s="5" t="str">
        <f t="shared" si="2129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48.818053560406902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66.622126737292305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28"/>
        <v>SPS1</v>
      </c>
      <c r="C2222" s="5" t="str">
        <f t="shared" si="2129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2.73466608945662E-4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3.47519631106672E-3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2.0731072216128498E-3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1.1287040479934299E-3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28"/>
        <v>SPS1</v>
      </c>
      <c r="C2223" s="5" t="str">
        <f t="shared" si="2129"/>
        <v>CH</v>
      </c>
      <c r="D2223" s="2" t="s">
        <v>2352</v>
      </c>
      <c r="E2223" s="2" t="s">
        <v>1999</v>
      </c>
      <c r="F2223" s="3">
        <f t="shared" ref="F2223:K2223" si="2132">SUM(F2224:F2232)</f>
        <v>0</v>
      </c>
      <c r="G2223" s="3">
        <f t="shared" si="2132"/>
        <v>6.4184767339014961</v>
      </c>
      <c r="H2223" s="3">
        <f t="shared" si="2132"/>
        <v>7.4391492296818784</v>
      </c>
      <c r="I2223" s="3">
        <f t="shared" si="2132"/>
        <v>27.016031562041277</v>
      </c>
      <c r="J2223" s="3">
        <f t="shared" si="2132"/>
        <v>40.35791691567281</v>
      </c>
      <c r="K2223" s="3">
        <f t="shared" si="2132"/>
        <v>21.59863122057617</v>
      </c>
      <c r="L2223" s="3">
        <f t="shared" ref="L2223" si="2133">SUM(L2224:L2232)</f>
        <v>49.24263036781592</v>
      </c>
      <c r="M2223" s="3"/>
      <c r="N2223" s="1"/>
    </row>
    <row r="2224" spans="2:14" x14ac:dyDescent="0.35">
      <c r="B2224" s="5" t="str">
        <f t="shared" si="2128"/>
        <v>SPS1</v>
      </c>
      <c r="C2224" s="5" t="str">
        <f t="shared" si="2129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8"/>
        <v>SPS1</v>
      </c>
      <c r="C2225" s="5" t="str">
        <f t="shared" si="2129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1.81952961440679E-2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8.7707157753449689E-3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5.7723024102616398E-3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8.3499616258895699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9.8908331495451201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49.242379543423901</v>
      </c>
      <c r="N2225" s="1"/>
    </row>
    <row r="2226" spans="2:14" x14ac:dyDescent="0.35">
      <c r="B2226" s="5" t="str">
        <f t="shared" si="2128"/>
        <v>SPS1</v>
      </c>
      <c r="C2226" s="5" t="str">
        <f t="shared" si="2129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2.05949077594302E-4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1.2664834480813502E-4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8.8405360427982292E-5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2.87330460424504E-4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1.7313272272774399E-4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2.5082439202042E-4</v>
      </c>
      <c r="N2226" s="1"/>
    </row>
    <row r="2227" spans="2:14" x14ac:dyDescent="0.35">
      <c r="B2227" s="5" t="str">
        <f t="shared" si="2128"/>
        <v>SPS1</v>
      </c>
      <c r="C2227" s="5" t="str">
        <f t="shared" si="2129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8"/>
        <v>SPS1</v>
      </c>
      <c r="C2228" s="5" t="str">
        <f t="shared" si="2129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8"/>
        <v>SPS1</v>
      </c>
      <c r="C2229" s="5" t="str">
        <f t="shared" si="2129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8"/>
        <v>SPS1</v>
      </c>
      <c r="C2230" s="5" t="str">
        <f t="shared" si="2129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1.2653575287264599E-3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2.8707088170803101E-3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3.3062382476994404E-3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1.16242234801141E-3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1.22161050630543E-3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28"/>
        <v>SPS1</v>
      </c>
      <c r="C2231" s="5" t="str">
        <f t="shared" si="2129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7.4257310479597507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26.989776226741199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31.994226356816501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11.699413318601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28"/>
        <v>SPS1</v>
      </c>
      <c r="C2232" s="5" t="str">
        <f t="shared" si="2129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7.2443946973760505E-4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1.65010878489502E-3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1.7088389281689102E-2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1.2279180158303199E-2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6.9900092010144604E-3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SPS1_NUC_High!B1822</f>
        <v>SPS1</v>
      </c>
      <c r="C2233" s="5" t="str">
        <f>SPS1_NUC_High!C1822</f>
        <v>CH</v>
      </c>
      <c r="D2233" s="2" t="s">
        <v>2367</v>
      </c>
      <c r="E2233" s="2" t="s">
        <v>1858</v>
      </c>
      <c r="F2233" s="3">
        <f t="shared" ref="F2233:K2233" si="2134">SUM(F2234,F2253)</f>
        <v>4.1464277385925388E-5</v>
      </c>
      <c r="G2233" s="3">
        <f t="shared" si="2134"/>
        <v>0.71484380959482685</v>
      </c>
      <c r="H2233" s="3">
        <f t="shared" si="2134"/>
        <v>1.6727777642331385</v>
      </c>
      <c r="I2233" s="3">
        <f t="shared" si="2134"/>
        <v>1.7900211811884976</v>
      </c>
      <c r="J2233" s="3">
        <f t="shared" si="2134"/>
        <v>3.3068878157570891</v>
      </c>
      <c r="K2233" s="3">
        <f t="shared" si="2134"/>
        <v>4.2811046920195013</v>
      </c>
      <c r="L2233" s="3">
        <f t="shared" ref="L2233" si="2135">SUM(L2234,L2253)</f>
        <v>4.233675245798862</v>
      </c>
      <c r="N2233" s="1"/>
    </row>
    <row r="2234" spans="2:14" x14ac:dyDescent="0.35">
      <c r="B2234" s="5" t="str">
        <f>SPS1_NUC_High!B1822</f>
        <v>SPS1</v>
      </c>
      <c r="C2234" s="5" t="str">
        <f>SPS1_NUC_High!C1822</f>
        <v>CH</v>
      </c>
      <c r="D2234" t="s">
        <v>2368</v>
      </c>
      <c r="E2234" t="str">
        <f>E2233</f>
        <v>GWth/yr.</v>
      </c>
      <c r="F2234" s="1">
        <f t="shared" ref="F2234:K2234" si="2136">SUM(F2235,F2238,F2240,F2243,F2245,F2247,F2249,F2251)</f>
        <v>2.9333837970727776E-5</v>
      </c>
      <c r="G2234" s="1">
        <f t="shared" si="2136"/>
        <v>0.55826176524624338</v>
      </c>
      <c r="H2234" s="1">
        <f t="shared" si="2136"/>
        <v>1.4817732720457242</v>
      </c>
      <c r="I2234" s="1">
        <f t="shared" si="2136"/>
        <v>1.4379087627944811</v>
      </c>
      <c r="J2234" s="1">
        <f t="shared" si="2136"/>
        <v>2.4749362560965809</v>
      </c>
      <c r="K2234" s="1">
        <f t="shared" si="2136"/>
        <v>3.3332863915613622</v>
      </c>
      <c r="L2234" s="1">
        <f t="shared" ref="L2234" si="2137">SUM(L2235,L2238,L2240,L2243,L2245,L2247,L2249,L2251)</f>
        <v>3.0190705924670169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8">SUM(F2236:F2237)</f>
        <v>1.6339418181519863E-6</v>
      </c>
      <c r="G2235" s="1">
        <f t="shared" si="2138"/>
        <v>0.27086499831067951</v>
      </c>
      <c r="H2235" s="1">
        <f t="shared" si="2138"/>
        <v>0.96749269044140696</v>
      </c>
      <c r="I2235" s="1">
        <f t="shared" si="2138"/>
        <v>1.2998472405197004</v>
      </c>
      <c r="J2235" s="1">
        <f t="shared" si="2138"/>
        <v>1.8163867442717656</v>
      </c>
      <c r="K2235" s="1">
        <f t="shared" si="2138"/>
        <v>2.3487539538627482</v>
      </c>
      <c r="L2235" s="1">
        <f t="shared" ref="L2235" si="2139">SUM(L2236:L2237)</f>
        <v>2.7210229671465149</v>
      </c>
      <c r="N2235" s="1"/>
    </row>
    <row r="2236" spans="2:14" x14ac:dyDescent="0.35">
      <c r="B2236" s="5" t="str">
        <f t="shared" ref="B2236:B2267" si="2140">B2235</f>
        <v>SPS1</v>
      </c>
      <c r="C2236" s="5" t="str">
        <f t="shared" ref="C2236:C2267" si="2141">C2235</f>
        <v>CH</v>
      </c>
      <c r="D2236" t="s">
        <v>2370</v>
      </c>
      <c r="E2236" t="str">
        <f t="shared" ref="E2236:E2267" si="2142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9.339087841072788E-7</v>
      </c>
      <c r="G2236" s="1" cm="1">
        <f t="array" ref="G2236">SUMPRODUCT(([1]OUT_FinalEnergyCons!$B$4:$B$10000="var_ncap")*1,(ISNUMBER(SEARCH("RH*-SHELCBR",[1]OUT_FinalEnergyCons!$A$4:$A$10000)))*1,[1]OUT_FinalEnergyCons!E$4:E$10000)</f>
        <v>4.6441726723078475E-2</v>
      </c>
      <c r="H2236" s="1" cm="1">
        <f t="array" ref="H2236">SUMPRODUCT(([1]OUT_FinalEnergyCons!$B$4:$B$10000="var_ncap")*1,(ISNUMBER(SEARCH("RH*-SHELCBR",[1]OUT_FinalEnergyCons!$A$4:$A$10000)))*1,[1]OUT_FinalEnergyCons!F$4:F$10000)</f>
        <v>5.4431530296241498E-7</v>
      </c>
      <c r="I2236" s="1" cm="1">
        <f t="array" ref="I2236">SUMPRODUCT(([1]OUT_FinalEnergyCons!$B$4:$B$10000="var_ncap")*1,(ISNUMBER(SEARCH("RH*-SHELCBR",[1]OUT_FinalEnergyCons!$A$4:$A$10000)))*1,[1]OUT_FinalEnergyCons!G$4:G$10000)</f>
        <v>1.1727765959345729E-6</v>
      </c>
      <c r="J2236" s="1" cm="1">
        <f t="array" ref="J2236">SUMPRODUCT(([2]OUT_FinalEnergyCons!$B$4:$B$10000="var_ncap")*1,(ISNUMBER(SEARCH("RH*-SHELCBR",[2]OUT_FinalEnergyCons!$A$4:$A$10000)))*1,[2]OUT_FinalEnergyCons!H$4:H$10000)</f>
        <v>2.745302000734617E-3</v>
      </c>
      <c r="K2236" s="1" cm="1">
        <f t="array" ref="K2236">SUMPRODUCT(([2]OUT_FinalEnergyCons!$B$4:$B$10000="var_ncap")*1,(ISNUMBER(SEARCH("RH*-SHELCBR",[2]OUT_FinalEnergyCons!$A$4:$A$10000)))*1,[2]OUT_FinalEnergyCons!I$4:I$10000)</f>
        <v>3.7585527922754899E-4</v>
      </c>
      <c r="L2236" s="1" cm="1">
        <f t="array" ref="L2236">SUMPRODUCT(([2]OUT_FinalEnergyCons!$B$4:$B$10000="var_ncap")*1,(ISNUMBER(SEARCH("RH*-SHELCBR",[2]OUT_FinalEnergyCons!$A$4:$A$10000)))*1,[2]OUT_FinalEnergyCons!J$4:J$10000)</f>
        <v>3.3230944673029502E-7</v>
      </c>
      <c r="N2236" s="1"/>
    </row>
    <row r="2237" spans="2:14" x14ac:dyDescent="0.35">
      <c r="B2237" s="5" t="str">
        <f t="shared" si="2140"/>
        <v>SPS1</v>
      </c>
      <c r="C2237" s="5" t="str">
        <f t="shared" si="2141"/>
        <v>CH</v>
      </c>
      <c r="D2237" t="s">
        <v>2371</v>
      </c>
      <c r="E2237" t="str">
        <f t="shared" si="2142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7.0003303404470751E-7</v>
      </c>
      <c r="G2237" s="1" cm="1">
        <f t="array" ref="G2237">SUMPRODUCT(([1]OUT_FinalEnergyCons!$B$4:$B$10000="var_ncap")*1,ISNUMBER(SEARCH("RH*-SHELCHP",[1]OUT_FinalEnergyCons!$A$4:$A$10000))*1,[1]OUT_FinalEnergyCons!E$4:E$10000)</f>
        <v>0.22442327158760103</v>
      </c>
      <c r="H2237" s="1" cm="1">
        <f t="array" ref="H2237">SUMPRODUCT(([1]OUT_FinalEnergyCons!$B$4:$B$10000="var_ncap")*1,ISNUMBER(SEARCH("RH*-SHELCHP",[1]OUT_FinalEnergyCons!$A$4:$A$10000))*1,[1]OUT_FinalEnergyCons!F$4:F$10000)</f>
        <v>0.96749214612610401</v>
      </c>
      <c r="I2237" s="1" cm="1">
        <f t="array" ref="I2237">SUMPRODUCT(([1]OUT_FinalEnergyCons!$B$4:$B$10000="var_ncap")*1,ISNUMBER(SEARCH("RH*-SHELCHP",[1]OUT_FinalEnergyCons!$A$4:$A$10000))*1,[1]OUT_FinalEnergyCons!G$4:G$10000)</f>
        <v>1.2998460677431045</v>
      </c>
      <c r="J2237" s="1" cm="1">
        <f t="array" ref="J2237">SUMPRODUCT(([2]OUT_FinalEnergyCons!$B$4:$B$10000="var_ncap")*1,ISNUMBER(SEARCH("RH*-SHELCHP",[2]OUT_FinalEnergyCons!$A$4:$A$10000))*1,[2]OUT_FinalEnergyCons!H$4:H$10000)</f>
        <v>1.813641442271031</v>
      </c>
      <c r="K2237" s="1" cm="1">
        <f t="array" ref="K2237">SUMPRODUCT(([2]OUT_FinalEnergyCons!$B$4:$B$10000="var_ncap")*1,ISNUMBER(SEARCH("RH*-SHELCHP",[2]OUT_FinalEnergyCons!$A$4:$A$10000))*1,[2]OUT_FinalEnergyCons!I$4:I$10000)</f>
        <v>2.3483780985835208</v>
      </c>
      <c r="L2237" s="1" cm="1">
        <f t="array" ref="L2237">SUMPRODUCT(([2]OUT_FinalEnergyCons!$B$4:$B$10000="var_ncap")*1,ISNUMBER(SEARCH("RH*-SHELCHP",[2]OUT_FinalEnergyCons!$A$4:$A$10000))*1,[2]OUT_FinalEnergyCons!J$4:J$10000)</f>
        <v>2.7210226348370683</v>
      </c>
      <c r="N2237" s="1"/>
    </row>
    <row r="2238" spans="2:14" x14ac:dyDescent="0.35">
      <c r="B2238" s="5" t="str">
        <f t="shared" si="2140"/>
        <v>SPS1</v>
      </c>
      <c r="C2238" s="5" t="str">
        <f t="shared" si="2141"/>
        <v>CH</v>
      </c>
      <c r="D2238" t="s">
        <v>2372</v>
      </c>
      <c r="E2238" t="str">
        <f t="shared" si="2142"/>
        <v>GWth/yr.</v>
      </c>
      <c r="F2238" s="1">
        <f t="shared" ref="F2238:L2238" si="2143">F2239</f>
        <v>0</v>
      </c>
      <c r="G2238" s="1">
        <f t="shared" si="2143"/>
        <v>5.5046874340135965E-5</v>
      </c>
      <c r="H2238" s="1">
        <f t="shared" si="2143"/>
        <v>2.1395401964987803E-2</v>
      </c>
      <c r="I2238" s="1">
        <f t="shared" si="2143"/>
        <v>5.8734882455969602E-7</v>
      </c>
      <c r="J2238" s="1">
        <f t="shared" si="2143"/>
        <v>5.1925825922451999E-2</v>
      </c>
      <c r="K2238" s="1">
        <f t="shared" si="2143"/>
        <v>0.2100389304704853</v>
      </c>
      <c r="L2238" s="1">
        <f t="shared" si="2143"/>
        <v>1.4177363781244281E-7</v>
      </c>
      <c r="N2238" s="1"/>
    </row>
    <row r="2239" spans="2:14" x14ac:dyDescent="0.35">
      <c r="B2239" s="5" t="str">
        <f t="shared" si="2140"/>
        <v>SPS1</v>
      </c>
      <c r="C2239" s="5" t="str">
        <f t="shared" si="2141"/>
        <v>CH</v>
      </c>
      <c r="D2239" t="s">
        <v>2373</v>
      </c>
      <c r="E2239" t="str">
        <f t="shared" si="2142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5.5046874340135965E-5</v>
      </c>
      <c r="H2239" s="1" cm="1">
        <f t="array" ref="H2239">SUMPRODUCT(([1]OUT_FinalEnergyCons!$B$4:$B$10000="var_ncap")*1, (ISNUMBER(SEARCH("RH*-SHLFOBR",[1]OUT_FinalEnergyCons!$A$4:$A$10000)))*1,[1]OUT_FinalEnergyCons!F$4:F$10000)</f>
        <v>2.1395401964987803E-2</v>
      </c>
      <c r="I2239" s="1" cm="1">
        <f t="array" ref="I2239">SUMPRODUCT(([1]OUT_FinalEnergyCons!$B$4:$B$10000="var_ncap")*1, (ISNUMBER(SEARCH("RH*-SHLFOBR",[1]OUT_FinalEnergyCons!$A$4:$A$10000)))*1,[1]OUT_FinalEnergyCons!G$4:G$10000)</f>
        <v>5.8734882455969602E-7</v>
      </c>
      <c r="J2239" s="1" cm="1">
        <f t="array" ref="J2239">SUMPRODUCT(([2]OUT_FinalEnergyCons!$B$4:$B$10000="var_ncap")*1, (ISNUMBER(SEARCH("RH*-SHLFOBR",[2]OUT_FinalEnergyCons!$A$4:$A$10000)))*1,[2]OUT_FinalEnergyCons!H$4:H$10000)</f>
        <v>5.1925825922451999E-2</v>
      </c>
      <c r="K2239" s="1" cm="1">
        <f t="array" ref="K2239">SUMPRODUCT(([2]OUT_FinalEnergyCons!$B$4:$B$10000="var_ncap")*1, (ISNUMBER(SEARCH("RH*-SHLFOBR",[2]OUT_FinalEnergyCons!$A$4:$A$10000)))*1,[2]OUT_FinalEnergyCons!I$4:I$10000)</f>
        <v>0.2100389304704853</v>
      </c>
      <c r="L2239" s="1" cm="1">
        <f t="array" ref="L2239">SUMPRODUCT(([2]OUT_FinalEnergyCons!$B$4:$B$10000="var_ncap")*1, (ISNUMBER(SEARCH("RH*-SHLFOBR",[2]OUT_FinalEnergyCons!$A$4:$A$10000)))*1,[2]OUT_FinalEnergyCons!J$4:J$10000)</f>
        <v>1.4177363781244281E-7</v>
      </c>
      <c r="N2239" s="1"/>
    </row>
    <row r="2240" spans="2:14" x14ac:dyDescent="0.35">
      <c r="B2240" s="5" t="str">
        <f t="shared" si="2140"/>
        <v>SPS1</v>
      </c>
      <c r="C2240" s="5" t="str">
        <f t="shared" si="2141"/>
        <v>CH</v>
      </c>
      <c r="D2240" t="s">
        <v>2374</v>
      </c>
      <c r="E2240" t="str">
        <f t="shared" si="2142"/>
        <v>GWth/yr.</v>
      </c>
      <c r="F2240" s="1">
        <f t="shared" ref="F2240:K2240" si="2144">SUM(F2241:F2242)</f>
        <v>1.48485221251809E-7</v>
      </c>
      <c r="G2240" s="1">
        <f t="shared" si="2144"/>
        <v>0.16797562743496192</v>
      </c>
      <c r="H2240" s="1">
        <f t="shared" si="2144"/>
        <v>0.42364582816228064</v>
      </c>
      <c r="I2240" s="1">
        <f t="shared" si="2144"/>
        <v>0.13709435588548738</v>
      </c>
      <c r="J2240" s="1">
        <f t="shared" si="2144"/>
        <v>0.22489383172443139</v>
      </c>
      <c r="K2240" s="1">
        <f t="shared" si="2144"/>
        <v>0.58727429116220209</v>
      </c>
      <c r="L2240" s="1">
        <f t="shared" ref="L2240" si="2145">SUM(L2241:L2242)</f>
        <v>0.25277395394988178</v>
      </c>
      <c r="N2240" s="1"/>
    </row>
    <row r="2241" spans="2:14" x14ac:dyDescent="0.35">
      <c r="B2241" s="5" t="str">
        <f t="shared" si="2140"/>
        <v>SPS1</v>
      </c>
      <c r="C2241" s="5" t="str">
        <f t="shared" si="2141"/>
        <v>CH</v>
      </c>
      <c r="D2241" t="s">
        <v>2375</v>
      </c>
      <c r="E2241" t="str">
        <f t="shared" si="2142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0.16797232801399464</v>
      </c>
      <c r="H2241" s="1" cm="1">
        <f t="array" ref="H2241">SUMPRODUCT(([1]OUT_FinalEnergyCons!$B$4:$B$10000="var_ncap")*1, (ISNUMBER(SEARCH("RH*-SHNGABR",[1]OUT_FinalEnergyCons!$A$4:$A$10000)))*1,[1]OUT_FinalEnergyCons!F$4:F$10000)</f>
        <v>0.13778384856415676</v>
      </c>
      <c r="I2241" s="1" cm="1">
        <f t="array" ref="I2241">SUMPRODUCT(([1]OUT_FinalEnergyCons!$B$4:$B$10000="var_ncap")*1, (ISNUMBER(SEARCH("RH*-SHNGABR",[1]OUT_FinalEnergyCons!$A$4:$A$10000)))*1,[1]OUT_FinalEnergyCons!G$4:G$10000)</f>
        <v>3.1288266731090209E-6</v>
      </c>
      <c r="J2241" s="1" cm="1">
        <f t="array" ref="J2241">SUMPRODUCT(([2]OUT_FinalEnergyCons!$B$4:$B$10000="var_ncap")*1, (ISNUMBER(SEARCH("RH*-SHNGABR",[2]OUT_FinalEnergyCons!$A$4:$A$10000)))*1,[2]OUT_FinalEnergyCons!H$4:H$10000)</f>
        <v>0.1372858543904889</v>
      </c>
      <c r="K2241" s="1" cm="1">
        <f t="array" ref="K2241">SUMPRODUCT(([2]OUT_FinalEnergyCons!$B$4:$B$10000="var_ncap")*1, (ISNUMBER(SEARCH("RH*-SHNGABR",[2]OUT_FinalEnergyCons!$A$4:$A$10000)))*1,[2]OUT_FinalEnergyCons!I$4:I$10000)</f>
        <v>0.23945305115991131</v>
      </c>
      <c r="L2241" s="1" cm="1">
        <f t="array" ref="L2241">SUMPRODUCT(([2]OUT_FinalEnergyCons!$B$4:$B$10000="var_ncap")*1, (ISNUMBER(SEARCH("RH*-SHNGABR",[2]OUT_FinalEnergyCons!$A$4:$A$10000)))*1,[2]OUT_FinalEnergyCons!J$4:J$10000)</f>
        <v>1.0643784888780234E-6</v>
      </c>
      <c r="N2241" s="1"/>
    </row>
    <row r="2242" spans="2:14" x14ac:dyDescent="0.35">
      <c r="B2242" s="5" t="str">
        <f t="shared" si="2140"/>
        <v>SPS1</v>
      </c>
      <c r="C2242" s="5" t="str">
        <f t="shared" si="2141"/>
        <v>CH</v>
      </c>
      <c r="D2242" t="s">
        <v>2376</v>
      </c>
      <c r="E2242" t="str">
        <f t="shared" si="2142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1.48485221251809E-7</v>
      </c>
      <c r="G2242" s="1" cm="1">
        <f t="array" ref="G2242">SUMPRODUCT(([1]OUT_FinalEnergyCons!$B$4:$B$10000="var_ncap")*1,ISNUMBER(SEARCH("RH*-SHngahp",[1]OUT_FinalEnergyCons!$A$4:$A$10000))*1,[1]OUT_FinalEnergyCons!E$4:E$10000)</f>
        <v>3.2994209672683689E-6</v>
      </c>
      <c r="H2242" s="1" cm="1">
        <f t="array" ref="H2242">SUMPRODUCT(([1]OUT_FinalEnergyCons!$B$4:$B$10000="var_ncap")*1,ISNUMBER(SEARCH("RH*-SHngahp",[1]OUT_FinalEnergyCons!$A$4:$A$10000))*1,[1]OUT_FinalEnergyCons!F$4:F$10000)</f>
        <v>0.28586197959812387</v>
      </c>
      <c r="I2242" s="1" cm="1">
        <f t="array" ref="I2242">SUMPRODUCT(([1]OUT_FinalEnergyCons!$B$4:$B$10000="var_ncap")*1,ISNUMBER(SEARCH("RH*-SHngahp",[1]OUT_FinalEnergyCons!$A$4:$A$10000))*1,[1]OUT_FinalEnergyCons!G$4:G$10000)</f>
        <v>0.13709122705881427</v>
      </c>
      <c r="J2242" s="1" cm="1">
        <f t="array" ref="J2242">SUMPRODUCT(([2]OUT_FinalEnergyCons!$B$4:$B$10000="var_ncap")*1,ISNUMBER(SEARCH("RH*-SHngahp",[2]OUT_FinalEnergyCons!$A$4:$A$10000))*1,[2]OUT_FinalEnergyCons!H$4:H$10000)</f>
        <v>8.7607977333942488E-2</v>
      </c>
      <c r="K2242" s="1" cm="1">
        <f t="array" ref="K2242">SUMPRODUCT(([2]OUT_FinalEnergyCons!$B$4:$B$10000="var_ncap")*1,ISNUMBER(SEARCH("RH*-SHngahp",[2]OUT_FinalEnergyCons!$A$4:$A$10000))*1,[2]OUT_FinalEnergyCons!I$4:I$10000)</f>
        <v>0.34782124000229075</v>
      </c>
      <c r="L2242" s="1" cm="1">
        <f t="array" ref="L2242">SUMPRODUCT(([2]OUT_FinalEnergyCons!$B$4:$B$10000="var_ncap")*1,ISNUMBER(SEARCH("RH*-SHngahp",[2]OUT_FinalEnergyCons!$A$4:$A$10000))*1,[2]OUT_FinalEnergyCons!J$4:J$10000)</f>
        <v>0.25277288957139288</v>
      </c>
      <c r="N2242" s="1"/>
    </row>
    <row r="2243" spans="2:14" x14ac:dyDescent="0.35">
      <c r="B2243" s="5" t="str">
        <f t="shared" si="2140"/>
        <v>SPS1</v>
      </c>
      <c r="C2243" s="5" t="str">
        <f t="shared" si="2141"/>
        <v>CH</v>
      </c>
      <c r="D2243" t="s">
        <v>2377</v>
      </c>
      <c r="E2243" t="str">
        <f t="shared" si="2142"/>
        <v>GWth/yr.</v>
      </c>
      <c r="F2243" s="1">
        <f t="shared" ref="F2243:L2243" si="2146">F2244</f>
        <v>0</v>
      </c>
      <c r="G2243" s="1">
        <f t="shared" si="2146"/>
        <v>0</v>
      </c>
      <c r="H2243" s="1">
        <f t="shared" si="2146"/>
        <v>0</v>
      </c>
      <c r="I2243" s="1">
        <f t="shared" si="2146"/>
        <v>0</v>
      </c>
      <c r="J2243" s="1">
        <f t="shared" si="2146"/>
        <v>0</v>
      </c>
      <c r="K2243" s="1">
        <f t="shared" si="2146"/>
        <v>0</v>
      </c>
      <c r="L2243" s="1">
        <f t="shared" si="2146"/>
        <v>0</v>
      </c>
      <c r="N2243" s="1"/>
    </row>
    <row r="2244" spans="2:14" x14ac:dyDescent="0.35">
      <c r="B2244" s="5" t="str">
        <f t="shared" si="2140"/>
        <v>SPS1</v>
      </c>
      <c r="C2244" s="5" t="str">
        <f t="shared" si="2141"/>
        <v>CH</v>
      </c>
      <c r="D2244" t="s">
        <v>2378</v>
      </c>
      <c r="E2244" t="str">
        <f t="shared" si="2142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40"/>
        <v>SPS1</v>
      </c>
      <c r="C2245" s="5" t="str">
        <f t="shared" si="2141"/>
        <v>CH</v>
      </c>
      <c r="D2245" t="s">
        <v>2379</v>
      </c>
      <c r="E2245" t="str">
        <f t="shared" si="2142"/>
        <v>GWth/yr.</v>
      </c>
      <c r="F2245" s="1">
        <f t="shared" ref="F2245:L2245" si="2147">F2246</f>
        <v>4.73710054920104E-6</v>
      </c>
      <c r="G2245" s="1">
        <f t="shared" si="2147"/>
        <v>6.0635407538797384E-2</v>
      </c>
      <c r="H2245" s="1">
        <f t="shared" si="2147"/>
        <v>6.9037215890290521E-2</v>
      </c>
      <c r="I2245" s="1">
        <f t="shared" si="2147"/>
        <v>7.8851714214968393E-7</v>
      </c>
      <c r="J2245" s="1">
        <f t="shared" si="2147"/>
        <v>0.36361165095991793</v>
      </c>
      <c r="K2245" s="1">
        <f t="shared" si="2147"/>
        <v>0.1508446068973687</v>
      </c>
      <c r="L2245" s="1">
        <f t="shared" si="2147"/>
        <v>3.2704104105963867E-2</v>
      </c>
      <c r="N2245" s="1"/>
    </row>
    <row r="2246" spans="2:14" x14ac:dyDescent="0.35">
      <c r="B2246" s="5" t="str">
        <f t="shared" si="2140"/>
        <v>SPS1</v>
      </c>
      <c r="C2246" s="5" t="str">
        <f t="shared" si="2141"/>
        <v>CH</v>
      </c>
      <c r="D2246" t="s">
        <v>2380</v>
      </c>
      <c r="E2246" t="str">
        <f t="shared" si="2142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4.73710054920104E-6</v>
      </c>
      <c r="G2246" s="1" cm="1">
        <f t="array" ref="G2246">SUMPRODUCT(([1]OUT_FinalEnergyCons!$B$4:$B$10000="var_ncap")*1, (ISNUMBER(SEARCH("RH*-SHWODBR",[1]OUT_FinalEnergyCons!$A$4:$A$10000)))*1,[1]OUT_FinalEnergyCons!E$4:E$10000)</f>
        <v>6.0635407538797384E-2</v>
      </c>
      <c r="H2246" s="1" cm="1">
        <f t="array" ref="H2246">SUMPRODUCT(([1]OUT_FinalEnergyCons!$B$4:$B$10000="var_ncap")*1, (ISNUMBER(SEARCH("RH*-SHWODBR",[1]OUT_FinalEnergyCons!$A$4:$A$10000)))*1,[1]OUT_FinalEnergyCons!F$4:F$10000)</f>
        <v>6.9037215890290521E-2</v>
      </c>
      <c r="I2246" s="1" cm="1">
        <f t="array" ref="I2246">SUMPRODUCT(([1]OUT_FinalEnergyCons!$B$4:$B$10000="var_ncap")*1, (ISNUMBER(SEARCH("RH*-SHWODBR",[1]OUT_FinalEnergyCons!$A$4:$A$10000)))*1,[1]OUT_FinalEnergyCons!G$4:G$10000)</f>
        <v>7.8851714214968393E-7</v>
      </c>
      <c r="J2246" s="1" cm="1">
        <f t="array" ref="J2246">SUMPRODUCT(([2]OUT_FinalEnergyCons!$B$4:$B$10000="var_ncap")*1, (ISNUMBER(SEARCH("RH*-SHWODBR",[2]OUT_FinalEnergyCons!$A$4:$A$10000)))*1,[2]OUT_FinalEnergyCons!H$4:H$10000)</f>
        <v>0.36361165095991793</v>
      </c>
      <c r="K2246" s="1" cm="1">
        <f t="array" ref="K2246">SUMPRODUCT(([2]OUT_FinalEnergyCons!$B$4:$B$10000="var_ncap")*1, (ISNUMBER(SEARCH("RH*-SHWODBR",[2]OUT_FinalEnergyCons!$A$4:$A$10000)))*1,[2]OUT_FinalEnergyCons!I$4:I$10000)</f>
        <v>0.1508446068973687</v>
      </c>
      <c r="L2246" s="1" cm="1">
        <f t="array" ref="L2246">SUMPRODUCT(([2]OUT_FinalEnergyCons!$B$4:$B$10000="var_ncap")*1, (ISNUMBER(SEARCH("RH*-SHWODBR",[2]OUT_FinalEnergyCons!$A$4:$A$10000)))*1,[2]OUT_FinalEnergyCons!J$4:J$10000)</f>
        <v>3.2704104105963867E-2</v>
      </c>
      <c r="N2246" s="1"/>
    </row>
    <row r="2247" spans="2:14" x14ac:dyDescent="0.35">
      <c r="B2247" s="5" t="str">
        <f t="shared" si="2140"/>
        <v>SPS1</v>
      </c>
      <c r="C2247" s="5" t="str">
        <f t="shared" si="2141"/>
        <v>CH</v>
      </c>
      <c r="D2247" t="s">
        <v>2381</v>
      </c>
      <c r="E2247" t="str">
        <f t="shared" si="2142"/>
        <v>GWth/yr.</v>
      </c>
      <c r="F2247" s="1">
        <f t="shared" ref="F2247:L2247" si="2148">F2248</f>
        <v>2.3358480959333399E-6</v>
      </c>
      <c r="G2247" s="1">
        <f t="shared" si="2148"/>
        <v>3.5941600309809522E-2</v>
      </c>
      <c r="H2247" s="1">
        <f t="shared" si="2148"/>
        <v>1.6043400768902467E-4</v>
      </c>
      <c r="I2247" s="1">
        <f t="shared" si="2148"/>
        <v>8.5761525997934214E-4</v>
      </c>
      <c r="J2247" s="1">
        <f t="shared" si="2148"/>
        <v>1.8056686552168626E-2</v>
      </c>
      <c r="K2247" s="1">
        <f t="shared" si="2148"/>
        <v>3.0080645092455081E-2</v>
      </c>
      <c r="L2247" s="1">
        <f t="shared" si="2148"/>
        <v>1.0937877430971146E-2</v>
      </c>
      <c r="N2247" s="1"/>
    </row>
    <row r="2248" spans="2:14" x14ac:dyDescent="0.35">
      <c r="B2248" s="5" t="str">
        <f t="shared" si="2140"/>
        <v>SPS1</v>
      </c>
      <c r="C2248" s="5" t="str">
        <f t="shared" si="2141"/>
        <v>CH</v>
      </c>
      <c r="D2248" t="s">
        <v>2382</v>
      </c>
      <c r="E2248" t="str">
        <f t="shared" si="2142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2.3358480959333399E-6</v>
      </c>
      <c r="G2248" s="1" cm="1">
        <f t="array" ref="G2248">SUMPRODUCT(([1]OUT_FinalEnergyCons!$B$4:$B$10000="var_ncap")*1, (ISNUMBER(SEARCH("RH*-SHPLTBR",[1]OUT_FinalEnergyCons!$A$4:$A$10000)))*1,[1]OUT_FinalEnergyCons!E$4:E$10000)</f>
        <v>3.5941600309809522E-2</v>
      </c>
      <c r="H2248" s="1" cm="1">
        <f t="array" ref="H2248">SUMPRODUCT(([1]OUT_FinalEnergyCons!$B$4:$B$10000="var_ncap")*1, (ISNUMBER(SEARCH("RH*-SHPLTBR",[1]OUT_FinalEnergyCons!$A$4:$A$10000)))*1,[1]OUT_FinalEnergyCons!F$4:F$10000)</f>
        <v>1.6043400768902467E-4</v>
      </c>
      <c r="I2248" s="1" cm="1">
        <f t="array" ref="I2248">SUMPRODUCT(([1]OUT_FinalEnergyCons!$B$4:$B$10000="var_ncap")*1, (ISNUMBER(SEARCH("RH*-SHPLTBR",[1]OUT_FinalEnergyCons!$A$4:$A$10000)))*1,[1]OUT_FinalEnergyCons!G$4:G$10000)</f>
        <v>8.5761525997934214E-4</v>
      </c>
      <c r="J2248" s="1" cm="1">
        <f t="array" ref="J2248">SUMPRODUCT(([2]OUT_FinalEnergyCons!$B$4:$B$10000="var_ncap")*1, (ISNUMBER(SEARCH("RH*-SHPLTBR",[2]OUT_FinalEnergyCons!$A$4:$A$10000)))*1,[2]OUT_FinalEnergyCons!H$4:H$10000)</f>
        <v>1.8056686552168626E-2</v>
      </c>
      <c r="K2248" s="1" cm="1">
        <f t="array" ref="K2248">SUMPRODUCT(([2]OUT_FinalEnergyCons!$B$4:$B$10000="var_ncap")*1, (ISNUMBER(SEARCH("RH*-SHPLTBR",[2]OUT_FinalEnergyCons!$A$4:$A$10000)))*1,[2]OUT_FinalEnergyCons!I$4:I$10000)</f>
        <v>3.0080645092455081E-2</v>
      </c>
      <c r="L2248" s="1" cm="1">
        <f t="array" ref="L2248">SUMPRODUCT(([2]OUT_FinalEnergyCons!$B$4:$B$10000="var_ncap")*1, (ISNUMBER(SEARCH("RH*-SHPLTBR",[2]OUT_FinalEnergyCons!$A$4:$A$10000)))*1,[2]OUT_FinalEnergyCons!J$4:J$10000)</f>
        <v>1.0937877430971146E-2</v>
      </c>
      <c r="N2248" s="1"/>
    </row>
    <row r="2249" spans="2:14" x14ac:dyDescent="0.35">
      <c r="B2249" s="5" t="str">
        <f t="shared" si="2140"/>
        <v>SPS1</v>
      </c>
      <c r="C2249" s="5" t="str">
        <f t="shared" si="2141"/>
        <v>CH</v>
      </c>
      <c r="D2249" t="s">
        <v>2383</v>
      </c>
      <c r="E2249" t="str">
        <f t="shared" si="2142"/>
        <v>GWth/yr.</v>
      </c>
      <c r="F2249" s="1">
        <f t="shared" ref="F2249:L2249" si="2149">F2250</f>
        <v>2.04784622861896E-5</v>
      </c>
      <c r="G2249" s="1">
        <f t="shared" si="2149"/>
        <v>2.278908477765499E-2</v>
      </c>
      <c r="H2249" s="1">
        <f t="shared" si="2149"/>
        <v>4.170157906920414E-5</v>
      </c>
      <c r="I2249" s="1">
        <f t="shared" si="2149"/>
        <v>1.0817526334735242E-4</v>
      </c>
      <c r="J2249" s="1">
        <f t="shared" si="2149"/>
        <v>6.1516665845114002E-5</v>
      </c>
      <c r="K2249" s="1">
        <f t="shared" si="2149"/>
        <v>6.2939640761030136E-3</v>
      </c>
      <c r="L2249" s="1">
        <f t="shared" si="2149"/>
        <v>1.631548060047639E-3</v>
      </c>
      <c r="N2249" s="1"/>
    </row>
    <row r="2250" spans="2:14" x14ac:dyDescent="0.35">
      <c r="B2250" s="5" t="str">
        <f t="shared" si="2140"/>
        <v>SPS1</v>
      </c>
      <c r="C2250" s="5" t="str">
        <f t="shared" si="2141"/>
        <v>CH</v>
      </c>
      <c r="D2250" t="s">
        <v>2384</v>
      </c>
      <c r="E2250" t="str">
        <f t="shared" si="2142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2.04784622861896E-5</v>
      </c>
      <c r="G2250" s="1" cm="1">
        <f t="array" ref="G2250">SUMPRODUCT(([1]OUT_FinalEnergyCons!$B$4:$B$10000="var_ncap")*1, (ISNUMBER(SEARCH("RH*-SHSOLBR",[1]OUT_FinalEnergyCons!$A$4:$A$10000)))*1,[1]OUT_FinalEnergyCons!E$4:E$10000)</f>
        <v>2.278908477765499E-2</v>
      </c>
      <c r="H2250" s="1" cm="1">
        <f t="array" ref="H2250">SUMPRODUCT(([1]OUT_FinalEnergyCons!$B$4:$B$10000="var_ncap")*1, (ISNUMBER(SEARCH("RH*-SHSOLBR",[1]OUT_FinalEnergyCons!$A$4:$A$10000)))*1,[1]OUT_FinalEnergyCons!F$4:F$10000)</f>
        <v>4.170157906920414E-5</v>
      </c>
      <c r="I2250" s="1" cm="1">
        <f t="array" ref="I2250">SUMPRODUCT(([1]OUT_FinalEnergyCons!$B$4:$B$10000="var_ncap")*1, (ISNUMBER(SEARCH("RH*-SHSOLBR",[1]OUT_FinalEnergyCons!$A$4:$A$10000)))*1,[1]OUT_FinalEnergyCons!G$4:G$10000)</f>
        <v>1.0817526334735242E-4</v>
      </c>
      <c r="J2250" s="1" cm="1">
        <f t="array" ref="J2250">SUMPRODUCT(([2]OUT_FinalEnergyCons!$B$4:$B$10000="var_ncap")*1, (ISNUMBER(SEARCH("RH*-SHSOLBR",[2]OUT_FinalEnergyCons!$A$4:$A$10000)))*1,[2]OUT_FinalEnergyCons!H$4:H$10000)</f>
        <v>6.1516665845114002E-5</v>
      </c>
      <c r="K2250" s="1" cm="1">
        <f t="array" ref="K2250">SUMPRODUCT(([2]OUT_FinalEnergyCons!$B$4:$B$10000="var_ncap")*1, (ISNUMBER(SEARCH("RH*-SHSOLBR",[2]OUT_FinalEnergyCons!$A$4:$A$10000)))*1,[2]OUT_FinalEnergyCons!I$4:I$10000)</f>
        <v>6.2939640761030136E-3</v>
      </c>
      <c r="L2250" s="1" cm="1">
        <f t="array" ref="L2250">SUMPRODUCT(([2]OUT_FinalEnergyCons!$B$4:$B$10000="var_ncap")*1, (ISNUMBER(SEARCH("RH*-SHSOLBR",[2]OUT_FinalEnergyCons!$A$4:$A$10000)))*1,[2]OUT_FinalEnergyCons!J$4:J$10000)</f>
        <v>1.631548060047639E-3</v>
      </c>
      <c r="N2250" s="1"/>
    </row>
    <row r="2251" spans="2:14" x14ac:dyDescent="0.35">
      <c r="B2251" s="5" t="str">
        <f t="shared" si="2140"/>
        <v>SPS1</v>
      </c>
      <c r="C2251" s="5" t="str">
        <f t="shared" si="2141"/>
        <v>CH</v>
      </c>
      <c r="D2251" t="s">
        <v>2385</v>
      </c>
      <c r="E2251" t="str">
        <f t="shared" si="2142"/>
        <v>GWth/yr.</v>
      </c>
      <c r="F2251" s="1">
        <f t="shared" ref="F2251:L2251" si="2150">F2252</f>
        <v>0</v>
      </c>
      <c r="G2251" s="1">
        <f t="shared" si="2150"/>
        <v>0</v>
      </c>
      <c r="H2251" s="1">
        <f t="shared" si="2150"/>
        <v>0</v>
      </c>
      <c r="I2251" s="1">
        <f t="shared" si="2150"/>
        <v>0</v>
      </c>
      <c r="J2251" s="1">
        <f t="shared" si="2150"/>
        <v>0</v>
      </c>
      <c r="K2251" s="1">
        <f t="shared" si="2150"/>
        <v>0</v>
      </c>
      <c r="L2251" s="1">
        <f t="shared" si="2150"/>
        <v>0</v>
      </c>
      <c r="N2251" s="1"/>
    </row>
    <row r="2252" spans="2:14" x14ac:dyDescent="0.35">
      <c r="B2252" s="5" t="str">
        <f t="shared" si="2140"/>
        <v>SPS1</v>
      </c>
      <c r="C2252" s="5" t="str">
        <f t="shared" si="2141"/>
        <v>CH</v>
      </c>
      <c r="D2252" t="s">
        <v>2386</v>
      </c>
      <c r="E2252" t="str">
        <f t="shared" si="2142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40"/>
        <v>SPS1</v>
      </c>
      <c r="C2253" s="5" t="str">
        <f t="shared" si="2141"/>
        <v>CH</v>
      </c>
      <c r="D2253" t="s">
        <v>2387</v>
      </c>
      <c r="E2253" t="str">
        <f t="shared" si="2142"/>
        <v>GWth/yr.</v>
      </c>
      <c r="F2253" s="1">
        <f t="shared" ref="F2253:K2253" si="2151">SUM(F2254,F2257,F2259,F2262,F2264,F2266,F2268,F2270)</f>
        <v>1.2130439415197611E-5</v>
      </c>
      <c r="G2253" s="1">
        <f t="shared" si="2151"/>
        <v>0.15658204434858344</v>
      </c>
      <c r="H2253" s="1">
        <f t="shared" si="2151"/>
        <v>0.19100449218741425</v>
      </c>
      <c r="I2253" s="1">
        <f t="shared" si="2151"/>
        <v>0.35211241839401647</v>
      </c>
      <c r="J2253" s="1">
        <f t="shared" si="2151"/>
        <v>0.83195155966050804</v>
      </c>
      <c r="K2253" s="1">
        <f t="shared" si="2151"/>
        <v>0.9478183004581392</v>
      </c>
      <c r="L2253" s="1">
        <f t="shared" ref="L2253" si="2152">SUM(L2254,L2257,L2259,L2262,L2264,L2266,L2268,L2270)</f>
        <v>1.2146046533318455</v>
      </c>
      <c r="N2253" s="1"/>
    </row>
    <row r="2254" spans="2:14" x14ac:dyDescent="0.35">
      <c r="B2254" s="5" t="str">
        <f t="shared" si="2140"/>
        <v>SPS1</v>
      </c>
      <c r="C2254" s="5" t="str">
        <f t="shared" si="2141"/>
        <v>CH</v>
      </c>
      <c r="D2254" t="s">
        <v>2388</v>
      </c>
      <c r="E2254" t="str">
        <f t="shared" si="2142"/>
        <v>GWth/yr.</v>
      </c>
      <c r="F2254" s="1">
        <f t="shared" ref="F2254:K2254" si="2153">SUM(F2255:F2256)</f>
        <v>1.2130439415197611E-5</v>
      </c>
      <c r="G2254" s="1">
        <f t="shared" si="2153"/>
        <v>6.7002147590814298E-2</v>
      </c>
      <c r="H2254" s="1">
        <f t="shared" si="2153"/>
        <v>8.914220015061014E-2</v>
      </c>
      <c r="I2254" s="1">
        <f t="shared" si="2153"/>
        <v>0.29258518185398358</v>
      </c>
      <c r="J2254" s="1">
        <f t="shared" si="2153"/>
        <v>0.42937615378934113</v>
      </c>
      <c r="K2254" s="1">
        <f t="shared" si="2153"/>
        <v>0.53112439720866977</v>
      </c>
      <c r="L2254" s="1">
        <f t="shared" ref="L2254" si="2154">SUM(L2255:L2256)</f>
        <v>0.78687543358420664</v>
      </c>
      <c r="N2254" s="1"/>
    </row>
    <row r="2255" spans="2:14" x14ac:dyDescent="0.35">
      <c r="B2255" s="5" t="str">
        <f t="shared" si="2140"/>
        <v>SPS1</v>
      </c>
      <c r="C2255" s="5" t="str">
        <f t="shared" si="2141"/>
        <v>CH</v>
      </c>
      <c r="D2255" t="s">
        <v>2389</v>
      </c>
      <c r="E2255" t="str">
        <f t="shared" si="2142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9.9577874955980906E-6</v>
      </c>
      <c r="G2255" s="1" cm="1">
        <f t="array" ref="G2255">SUMPRODUCT(([1]OUT_FinalEnergyCons!$B$4:$B$10000="var_ncap")*1,(ISNUMBER(SEARCH("RH*-WHELCBR",[1]OUT_FinalEnergyCons!$A$4:$A$10000)))*1,[1]OUT_FinalEnergyCons!E$4:E$10000)</f>
        <v>3.4223646651582201E-2</v>
      </c>
      <c r="H2255" s="1" cm="1">
        <f t="array" ref="H2255">SUMPRODUCT(([1]OUT_FinalEnergyCons!$B$4:$B$10000="var_ncap")*1,(ISNUMBER(SEARCH("RH*-WHELCBR",[1]OUT_FinalEnergyCons!$A$4:$A$10000)))*1,[1]OUT_FinalEnergyCons!F$4:F$10000)</f>
        <v>3.4808742104149202E-7</v>
      </c>
      <c r="I2255" s="1" cm="1">
        <f t="array" ref="I2255">SUMPRODUCT(([1]OUT_FinalEnergyCons!$B$4:$B$10000="var_ncap")*1,(ISNUMBER(SEARCH("RH*-WHELCBR",[1]OUT_FinalEnergyCons!$A$4:$A$10000)))*1,[1]OUT_FinalEnergyCons!G$4:G$10000)</f>
        <v>6.4008086559418902E-7</v>
      </c>
      <c r="J2255" s="1" cm="1">
        <f t="array" ref="J2255">SUMPRODUCT(([2]OUT_FinalEnergyCons!$B$4:$B$10000="var_ncap")*1,(ISNUMBER(SEARCH("RH*-WHELCBR",[2]OUT_FinalEnergyCons!$A$4:$A$10000)))*1,[2]OUT_FinalEnergyCons!H$4:H$10000)</f>
        <v>5.3427044203245101E-2</v>
      </c>
      <c r="K2255" s="1" cm="1">
        <f t="array" ref="K2255">SUMPRODUCT(([2]OUT_FinalEnergyCons!$B$4:$B$10000="var_ncap")*1,(ISNUMBER(SEARCH("RH*-WHELCBR",[2]OUT_FinalEnergyCons!$A$4:$A$10000)))*1,[2]OUT_FinalEnergyCons!I$4:I$10000)</f>
        <v>7.3821412090808794E-2</v>
      </c>
      <c r="L2255" s="1" cm="1">
        <f t="array" ref="L2255">SUMPRODUCT(([2]OUT_FinalEnergyCons!$B$4:$B$10000="var_ncap")*1,(ISNUMBER(SEARCH("RH*-WHELCBR",[2]OUT_FinalEnergyCons!$A$4:$A$10000)))*1,[2]OUT_FinalEnergyCons!J$4:J$10000)</f>
        <v>3.3071631698751602E-2</v>
      </c>
      <c r="N2255" s="1"/>
    </row>
    <row r="2256" spans="2:14" x14ac:dyDescent="0.35">
      <c r="B2256" s="5" t="str">
        <f t="shared" si="2140"/>
        <v>SPS1</v>
      </c>
      <c r="C2256" s="5" t="str">
        <f t="shared" si="2141"/>
        <v>CH</v>
      </c>
      <c r="D2256" t="s">
        <v>2390</v>
      </c>
      <c r="E2256" t="str">
        <f t="shared" si="2142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2.1726519195995199E-6</v>
      </c>
      <c r="G2256" s="1" cm="1">
        <f t="array" ref="G2256">SUMPRODUCT(([1]OUT_FinalEnergyCons!$B$4:$B$10000="var_ncap")*1,ISNUMBER(SEARCH("RH*-WHELCHP",[1]OUT_FinalEnergyCons!$A$4:$A$10000))*1,[1]OUT_FinalEnergyCons!E$4:E$10000)</f>
        <v>3.2778500939232097E-2</v>
      </c>
      <c r="H2256" s="1" cm="1">
        <f t="array" ref="H2256">SUMPRODUCT(([1]OUT_FinalEnergyCons!$B$4:$B$10000="var_ncap")*1,ISNUMBER(SEARCH("RH*-WHELCHP",[1]OUT_FinalEnergyCons!$A$4:$A$10000))*1,[1]OUT_FinalEnergyCons!F$4:F$10000)</f>
        <v>8.91418520631891E-2</v>
      </c>
      <c r="I2256" s="1" cm="1">
        <f t="array" ref="I2256">SUMPRODUCT(([1]OUT_FinalEnergyCons!$B$4:$B$10000="var_ncap")*1,ISNUMBER(SEARCH("RH*-WHELCHP",[1]OUT_FinalEnergyCons!$A$4:$A$10000))*1,[1]OUT_FinalEnergyCons!G$4:G$10000)</f>
        <v>0.29258454177311799</v>
      </c>
      <c r="J2256" s="1" cm="1">
        <f t="array" ref="J2256">SUMPRODUCT(([2]OUT_FinalEnergyCons!$B$4:$B$10000="var_ncap")*1,ISNUMBER(SEARCH("RH*-WHELCHP",[2]OUT_FinalEnergyCons!$A$4:$A$10000))*1,[2]OUT_FinalEnergyCons!H$4:H$10000)</f>
        <v>0.37594910958609601</v>
      </c>
      <c r="K2256" s="1" cm="1">
        <f t="array" ref="K2256">SUMPRODUCT(([2]OUT_FinalEnergyCons!$B$4:$B$10000="var_ncap")*1,ISNUMBER(SEARCH("RH*-WHELCHP",[2]OUT_FinalEnergyCons!$A$4:$A$10000))*1,[2]OUT_FinalEnergyCons!I$4:I$10000)</f>
        <v>0.45730298511786099</v>
      </c>
      <c r="L2256" s="1" cm="1">
        <f t="array" ref="L2256">SUMPRODUCT(([2]OUT_FinalEnergyCons!$B$4:$B$10000="var_ncap")*1,ISNUMBER(SEARCH("RH*-WHELCHP",[2]OUT_FinalEnergyCons!$A$4:$A$10000))*1,[2]OUT_FinalEnergyCons!J$4:J$10000)</f>
        <v>0.75380380188545504</v>
      </c>
      <c r="N2256" s="1"/>
    </row>
    <row r="2257" spans="2:14" x14ac:dyDescent="0.35">
      <c r="B2257" s="5" t="str">
        <f t="shared" si="2140"/>
        <v>SPS1</v>
      </c>
      <c r="C2257" s="5" t="str">
        <f t="shared" si="2141"/>
        <v>CH</v>
      </c>
      <c r="D2257" t="s">
        <v>2391</v>
      </c>
      <c r="E2257" t="str">
        <f t="shared" si="2142"/>
        <v>GWth/yr.</v>
      </c>
      <c r="F2257" s="1">
        <f t="shared" ref="F2257:L2257" si="2155">F2258</f>
        <v>0</v>
      </c>
      <c r="G2257" s="1">
        <f t="shared" si="2155"/>
        <v>2.6597017316000101E-7</v>
      </c>
      <c r="H2257" s="1">
        <f t="shared" si="2155"/>
        <v>1.09617888352669E-7</v>
      </c>
      <c r="I2257" s="1">
        <f t="shared" si="2155"/>
        <v>2.6816396598105598E-7</v>
      </c>
      <c r="J2257" s="1">
        <f t="shared" si="2155"/>
        <v>1.41056370575691E-2</v>
      </c>
      <c r="K2257" s="1">
        <f t="shared" si="2155"/>
        <v>2.66768562035655E-2</v>
      </c>
      <c r="L2257" s="1">
        <f t="shared" si="2155"/>
        <v>0</v>
      </c>
      <c r="N2257" s="1"/>
    </row>
    <row r="2258" spans="2:14" x14ac:dyDescent="0.35">
      <c r="B2258" s="5" t="str">
        <f t="shared" si="2140"/>
        <v>SPS1</v>
      </c>
      <c r="C2258" s="5" t="str">
        <f t="shared" si="2141"/>
        <v>CH</v>
      </c>
      <c r="D2258" t="s">
        <v>2392</v>
      </c>
      <c r="E2258" t="str">
        <f t="shared" si="2142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2.6597017316000101E-7</v>
      </c>
      <c r="H2258" s="1" cm="1">
        <f t="array" ref="H2258">SUMPRODUCT(([1]OUT_FinalEnergyCons!$B$4:$B$10000="var_ncap")*1, (ISNUMBER(SEARCH("RH*-WHLFOBR",[1]OUT_FinalEnergyCons!$A$4:$A$10000)))*1,[1]OUT_FinalEnergyCons!F$4:F$10000)</f>
        <v>1.09617888352669E-7</v>
      </c>
      <c r="I2258" s="1" cm="1">
        <f t="array" ref="I2258">SUMPRODUCT(([1]OUT_FinalEnergyCons!$B$4:$B$10000="var_ncap")*1, (ISNUMBER(SEARCH("RH*-WHLFOBR",[1]OUT_FinalEnergyCons!$A$4:$A$10000)))*1,[1]OUT_FinalEnergyCons!G$4:G$10000)</f>
        <v>2.6816396598105598E-7</v>
      </c>
      <c r="J2258" s="1" cm="1">
        <f t="array" ref="J2258">SUMPRODUCT(([2]OUT_FinalEnergyCons!$B$4:$B$10000="var_ncap")*1, (ISNUMBER(SEARCH("RH*-WHLFOBR",[2]OUT_FinalEnergyCons!$A$4:$A$10000)))*1,[2]OUT_FinalEnergyCons!H$4:H$10000)</f>
        <v>1.41056370575691E-2</v>
      </c>
      <c r="K2258" s="1" cm="1">
        <f t="array" ref="K2258">SUMPRODUCT(([2]OUT_FinalEnergyCons!$B$4:$B$10000="var_ncap")*1, (ISNUMBER(SEARCH("RH*-WHLFOBR",[2]OUT_FinalEnergyCons!$A$4:$A$10000)))*1,[2]OUT_FinalEnergyCons!I$4:I$10000)</f>
        <v>2.66768562035655E-2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40"/>
        <v>SPS1</v>
      </c>
      <c r="C2259" s="5" t="str">
        <f t="shared" si="2141"/>
        <v>CH</v>
      </c>
      <c r="D2259" t="s">
        <v>2393</v>
      </c>
      <c r="E2259" t="str">
        <f t="shared" si="2142"/>
        <v>GWth/yr.</v>
      </c>
      <c r="F2259" s="1">
        <f t="shared" ref="F2259:K2259" si="2156">SUM(F2260:F2261)</f>
        <v>0</v>
      </c>
      <c r="G2259" s="1">
        <f t="shared" si="2156"/>
        <v>7.8444755239108906E-7</v>
      </c>
      <c r="H2259" s="1">
        <f t="shared" si="2156"/>
        <v>5.8119420556702835E-2</v>
      </c>
      <c r="I2259" s="1">
        <f t="shared" si="2156"/>
        <v>5.6849773420023161E-2</v>
      </c>
      <c r="J2259" s="1">
        <f t="shared" si="2156"/>
        <v>0.1072370218946066</v>
      </c>
      <c r="K2259" s="1">
        <f t="shared" si="2156"/>
        <v>0.14921189668416809</v>
      </c>
      <c r="L2259" s="1">
        <f t="shared" ref="L2259" si="2157">SUM(L2260:L2261)</f>
        <v>0.1438280132393191</v>
      </c>
      <c r="N2259" s="1"/>
    </row>
    <row r="2260" spans="2:14" x14ac:dyDescent="0.35">
      <c r="B2260" s="5" t="str">
        <f t="shared" si="2140"/>
        <v>SPS1</v>
      </c>
      <c r="C2260" s="5" t="str">
        <f t="shared" si="2141"/>
        <v>CH</v>
      </c>
      <c r="D2260" t="s">
        <v>2394</v>
      </c>
      <c r="E2260" t="str">
        <f t="shared" si="2142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2.9037294611366501E-7</v>
      </c>
      <c r="H2260" s="1" cm="1">
        <f t="array" ref="H2260">SUMPRODUCT(([1]OUT_FinalEnergyCons!$B$4:$B$10000="var_ncap")*1, (ISNUMBER(SEARCH("RH*-WHNGABR",[1]OUT_FinalEnergyCons!$A$4:$A$10000)))*1,[1]OUT_FinalEnergyCons!F$4:F$10000)</f>
        <v>1.9521317923005399E-7</v>
      </c>
      <c r="I2260" s="1" cm="1">
        <f t="array" ref="I2260">SUMPRODUCT(([1]OUT_FinalEnergyCons!$B$4:$B$10000="var_ncap")*1, (ISNUMBER(SEARCH("RH*-WHNGABR",[1]OUT_FinalEnergyCons!$A$4:$A$10000)))*1,[1]OUT_FinalEnergyCons!G$4:G$10000)</f>
        <v>3.5090154786014798E-7</v>
      </c>
      <c r="J2260" s="1" cm="1">
        <f t="array" ref="J2260">SUMPRODUCT(([2]OUT_FinalEnergyCons!$B$4:$B$10000="var_ncap")*1, (ISNUMBER(SEARCH("RH*-WHNGABR",[2]OUT_FinalEnergyCons!$A$4:$A$10000)))*1,[2]OUT_FinalEnergyCons!H$4:H$10000)</f>
        <v>5.0689564806290499E-2</v>
      </c>
      <c r="K2260" s="1" cm="1">
        <f t="array" ref="K2260">SUMPRODUCT(([2]OUT_FinalEnergyCons!$B$4:$B$10000="var_ncap")*1, (ISNUMBER(SEARCH("RH*-WHNGABR",[2]OUT_FinalEnergyCons!$A$4:$A$10000)))*1,[2]OUT_FinalEnergyCons!I$4:I$10000)</f>
        <v>2.69496865905231E-2</v>
      </c>
      <c r="L2260" s="1" cm="1">
        <f t="array" ref="L2260">SUMPRODUCT(([2]OUT_FinalEnergyCons!$B$4:$B$10000="var_ncap")*1, (ISNUMBER(SEARCH("RH*-WHNGABR",[2]OUT_FinalEnergyCons!$A$4:$A$10000)))*1,[2]OUT_FinalEnergyCons!J$4:J$10000)</f>
        <v>1.37438160104898E-7</v>
      </c>
      <c r="N2260" s="1"/>
    </row>
    <row r="2261" spans="2:14" x14ac:dyDescent="0.35">
      <c r="B2261" s="5" t="str">
        <f t="shared" si="2140"/>
        <v>SPS1</v>
      </c>
      <c r="C2261" s="5" t="str">
        <f t="shared" si="2141"/>
        <v>CH</v>
      </c>
      <c r="D2261" t="s">
        <v>2395</v>
      </c>
      <c r="E2261" t="str">
        <f t="shared" si="2142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4.94074606277424E-7</v>
      </c>
      <c r="H2261" s="1" cm="1">
        <f t="array" ref="H2261">SUMPRODUCT(([1]OUT_FinalEnergyCons!$B$4:$B$10000="var_ncap")*1,ISNUMBER(SEARCH("RH*-WHngahp",[1]OUT_FinalEnergyCons!$A$4:$A$10000))*1,[1]OUT_FinalEnergyCons!F$4:F$10000)</f>
        <v>5.8119225343523602E-2</v>
      </c>
      <c r="I2261" s="1" cm="1">
        <f t="array" ref="I2261">SUMPRODUCT(([1]OUT_FinalEnergyCons!$B$4:$B$10000="var_ncap")*1,ISNUMBER(SEARCH("RH*-WHngahp",[1]OUT_FinalEnergyCons!$A$4:$A$10000))*1,[1]OUT_FinalEnergyCons!G$4:G$10000)</f>
        <v>5.6849422518475301E-2</v>
      </c>
      <c r="J2261" s="1" cm="1">
        <f t="array" ref="J2261">SUMPRODUCT(([2]OUT_FinalEnergyCons!$B$4:$B$10000="var_ncap")*1,ISNUMBER(SEARCH("RH*-WHngahp",[2]OUT_FinalEnergyCons!$A$4:$A$10000))*1,[2]OUT_FinalEnergyCons!H$4:H$10000)</f>
        <v>5.65474570883161E-2</v>
      </c>
      <c r="K2261" s="1" cm="1">
        <f t="array" ref="K2261">SUMPRODUCT(([2]OUT_FinalEnergyCons!$B$4:$B$10000="var_ncap")*1,ISNUMBER(SEARCH("RH*-WHngahp",[2]OUT_FinalEnergyCons!$A$4:$A$10000))*1,[2]OUT_FinalEnergyCons!I$4:I$10000)</f>
        <v>0.122262210093645</v>
      </c>
      <c r="L2261" s="1" cm="1">
        <f t="array" ref="L2261">SUMPRODUCT(([2]OUT_FinalEnergyCons!$B$4:$B$10000="var_ncap")*1,ISNUMBER(SEARCH("RH*-WHngahp",[2]OUT_FinalEnergyCons!$A$4:$A$10000))*1,[2]OUT_FinalEnergyCons!J$4:J$10000)</f>
        <v>0.14382787580115899</v>
      </c>
      <c r="N2261" s="1"/>
    </row>
    <row r="2262" spans="2:14" x14ac:dyDescent="0.35">
      <c r="B2262" s="5" t="str">
        <f t="shared" si="2140"/>
        <v>SPS1</v>
      </c>
      <c r="C2262" s="5" t="str">
        <f t="shared" si="2141"/>
        <v>CH</v>
      </c>
      <c r="D2262" t="s">
        <v>2396</v>
      </c>
      <c r="E2262" t="str">
        <f t="shared" si="2142"/>
        <v>GWth/yr.</v>
      </c>
      <c r="F2262" s="1">
        <f t="shared" ref="F2262:L2262" si="2158">F2263</f>
        <v>0</v>
      </c>
      <c r="G2262" s="1">
        <f t="shared" si="2158"/>
        <v>0</v>
      </c>
      <c r="H2262" s="1">
        <f t="shared" si="2158"/>
        <v>0</v>
      </c>
      <c r="I2262" s="1">
        <f t="shared" si="2158"/>
        <v>0</v>
      </c>
      <c r="J2262" s="1">
        <f t="shared" si="2158"/>
        <v>0</v>
      </c>
      <c r="K2262" s="1">
        <f t="shared" si="2158"/>
        <v>0</v>
      </c>
      <c r="L2262" s="1">
        <f t="shared" si="2158"/>
        <v>0</v>
      </c>
      <c r="N2262" s="1"/>
    </row>
    <row r="2263" spans="2:14" x14ac:dyDescent="0.35">
      <c r="B2263" s="5" t="str">
        <f t="shared" si="2140"/>
        <v>SPS1</v>
      </c>
      <c r="C2263" s="5" t="str">
        <f t="shared" si="2141"/>
        <v>CH</v>
      </c>
      <c r="D2263" t="s">
        <v>2397</v>
      </c>
      <c r="E2263" t="str">
        <f t="shared" si="2142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40"/>
        <v>SPS1</v>
      </c>
      <c r="C2264" s="5" t="str">
        <f t="shared" si="2141"/>
        <v>CH</v>
      </c>
      <c r="D2264" t="s">
        <v>2398</v>
      </c>
      <c r="E2264" t="str">
        <f t="shared" si="2142"/>
        <v>GWth/yr.</v>
      </c>
      <c r="F2264" s="1">
        <f t="shared" ref="F2264:L2264" si="2159">F2265</f>
        <v>0</v>
      </c>
      <c r="G2264" s="1">
        <f t="shared" si="2159"/>
        <v>5.1260578233641198E-3</v>
      </c>
      <c r="H2264" s="1">
        <f t="shared" si="2159"/>
        <v>4.3741864174076703E-2</v>
      </c>
      <c r="I2264" s="1">
        <f t="shared" si="2159"/>
        <v>2.6730797329270598E-3</v>
      </c>
      <c r="J2264" s="1">
        <f t="shared" si="2159"/>
        <v>2.2638140029123101E-2</v>
      </c>
      <c r="K2264" s="1">
        <f t="shared" si="2159"/>
        <v>4.55293309548069E-2</v>
      </c>
      <c r="L2264" s="1">
        <f t="shared" si="2159"/>
        <v>1.6092720783088401E-2</v>
      </c>
      <c r="N2264" s="1"/>
    </row>
    <row r="2265" spans="2:14" x14ac:dyDescent="0.35">
      <c r="B2265" s="5" t="str">
        <f t="shared" si="2140"/>
        <v>SPS1</v>
      </c>
      <c r="C2265" s="5" t="str">
        <f t="shared" si="2141"/>
        <v>CH</v>
      </c>
      <c r="D2265" t="s">
        <v>2399</v>
      </c>
      <c r="E2265" t="str">
        <f t="shared" si="2142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5.1260578233641198E-3</v>
      </c>
      <c r="H2265" s="1" cm="1">
        <f t="array" ref="H2265">SUMPRODUCT(([1]OUT_FinalEnergyCons!$B$4:$B$10000="var_ncap")*1, (ISNUMBER(SEARCH("RH*-WHWODBR",[1]OUT_FinalEnergyCons!$A$4:$A$10000)))*1,[1]OUT_FinalEnergyCons!F$4:F$10000)</f>
        <v>4.3741864174076703E-2</v>
      </c>
      <c r="I2265" s="1" cm="1">
        <f t="array" ref="I2265">SUMPRODUCT(([1]OUT_FinalEnergyCons!$B$4:$B$10000="var_ncap")*1, (ISNUMBER(SEARCH("RH*-WHWODBR",[1]OUT_FinalEnergyCons!$A$4:$A$10000)))*1,[1]OUT_FinalEnergyCons!G$4:G$10000)</f>
        <v>2.6730797329270598E-3</v>
      </c>
      <c r="J2265" s="1" cm="1">
        <f t="array" ref="J2265">SUMPRODUCT(([2]OUT_FinalEnergyCons!$B$4:$B$10000="var_ncap")*1, (ISNUMBER(SEARCH("RH*-WHWODBR",[2]OUT_FinalEnergyCons!$A$4:$A$10000)))*1,[2]OUT_FinalEnergyCons!H$4:H$10000)</f>
        <v>2.2638140029123101E-2</v>
      </c>
      <c r="K2265" s="1" cm="1">
        <f t="array" ref="K2265">SUMPRODUCT(([2]OUT_FinalEnergyCons!$B$4:$B$10000="var_ncap")*1, (ISNUMBER(SEARCH("RH*-WHWODBR",[2]OUT_FinalEnergyCons!$A$4:$A$10000)))*1,[2]OUT_FinalEnergyCons!I$4:I$10000)</f>
        <v>4.55293309548069E-2</v>
      </c>
      <c r="L2265" s="1" cm="1">
        <f t="array" ref="L2265">SUMPRODUCT(([2]OUT_FinalEnergyCons!$B$4:$B$10000="var_ncap")*1, (ISNUMBER(SEARCH("RH*-WHWODBR",[2]OUT_FinalEnergyCons!$A$4:$A$10000)))*1,[2]OUT_FinalEnergyCons!J$4:J$10000)</f>
        <v>1.6092720783088401E-2</v>
      </c>
      <c r="N2265" s="1"/>
    </row>
    <row r="2266" spans="2:14" x14ac:dyDescent="0.35">
      <c r="B2266" s="5" t="str">
        <f t="shared" si="2140"/>
        <v>SPS1</v>
      </c>
      <c r="C2266" s="5" t="str">
        <f t="shared" si="2141"/>
        <v>CH</v>
      </c>
      <c r="D2266" t="s">
        <v>2400</v>
      </c>
      <c r="E2266" t="str">
        <f t="shared" si="2142"/>
        <v>GWth/yr.</v>
      </c>
      <c r="F2266" s="1">
        <f t="shared" ref="F2266:L2266" si="2160">F2267</f>
        <v>0</v>
      </c>
      <c r="G2266" s="1">
        <f t="shared" si="2160"/>
        <v>1.9542992813429802E-3</v>
      </c>
      <c r="H2266" s="1">
        <f t="shared" si="2160"/>
        <v>1.6130940086118599E-7</v>
      </c>
      <c r="I2266" s="1">
        <f t="shared" si="2160"/>
        <v>1.25967391033899E-6</v>
      </c>
      <c r="J2266" s="1">
        <f t="shared" si="2160"/>
        <v>8.4089704717411496E-3</v>
      </c>
      <c r="K2266" s="1">
        <f t="shared" si="2160"/>
        <v>5.5597678846917896E-3</v>
      </c>
      <c r="L2266" s="1">
        <f t="shared" si="2160"/>
        <v>6.0439965670363799E-3</v>
      </c>
      <c r="N2266" s="1"/>
    </row>
    <row r="2267" spans="2:14" x14ac:dyDescent="0.35">
      <c r="B2267" s="5" t="str">
        <f t="shared" si="2140"/>
        <v>SPS1</v>
      </c>
      <c r="C2267" s="5" t="str">
        <f t="shared" si="2141"/>
        <v>CH</v>
      </c>
      <c r="D2267" t="s">
        <v>2401</v>
      </c>
      <c r="E2267" t="str">
        <f t="shared" si="2142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1.9542992813429802E-3</v>
      </c>
      <c r="H2267" s="1" cm="1">
        <f t="array" ref="H2267">SUMPRODUCT(([1]OUT_FinalEnergyCons!$B$4:$B$10000="var_ncap")*1, (ISNUMBER(SEARCH("RH*-WHPLTBR",[1]OUT_FinalEnergyCons!$A$4:$A$10000)))*1,[1]OUT_FinalEnergyCons!F$4:F$10000)</f>
        <v>1.6130940086118599E-7</v>
      </c>
      <c r="I2267" s="1" cm="1">
        <f t="array" ref="I2267">SUMPRODUCT(([1]OUT_FinalEnergyCons!$B$4:$B$10000="var_ncap")*1, (ISNUMBER(SEARCH("RH*-WHPLTBR",[1]OUT_FinalEnergyCons!$A$4:$A$10000)))*1,[1]OUT_FinalEnergyCons!G$4:G$10000)</f>
        <v>1.25967391033899E-6</v>
      </c>
      <c r="J2267" s="1" cm="1">
        <f t="array" ref="J2267">SUMPRODUCT(([2]OUT_FinalEnergyCons!$B$4:$B$10000="var_ncap")*1, (ISNUMBER(SEARCH("RH*-WHPLTBR",[2]OUT_FinalEnergyCons!$A$4:$A$10000)))*1,[2]OUT_FinalEnergyCons!H$4:H$10000)</f>
        <v>8.4089704717411496E-3</v>
      </c>
      <c r="K2267" s="1" cm="1">
        <f t="array" ref="K2267">SUMPRODUCT(([2]OUT_FinalEnergyCons!$B$4:$B$10000="var_ncap")*1, (ISNUMBER(SEARCH("RH*-WHPLTBR",[2]OUT_FinalEnergyCons!$A$4:$A$10000)))*1,[2]OUT_FinalEnergyCons!I$4:I$10000)</f>
        <v>5.5597678846917896E-3</v>
      </c>
      <c r="L2267" s="1" cm="1">
        <f t="array" ref="L2267">SUMPRODUCT(([2]OUT_FinalEnergyCons!$B$4:$B$10000="var_ncap")*1, (ISNUMBER(SEARCH("RH*-WHPLTBR",[2]OUT_FinalEnergyCons!$A$4:$A$10000)))*1,[2]OUT_FinalEnergyCons!J$4:J$10000)</f>
        <v>6.0439965670363799E-3</v>
      </c>
      <c r="N2267" s="1"/>
    </row>
    <row r="2268" spans="2:14" x14ac:dyDescent="0.35">
      <c r="B2268" s="5" t="str">
        <f t="shared" ref="B2268:B2294" si="2161">B2267</f>
        <v>SPS1</v>
      </c>
      <c r="C2268" s="5" t="str">
        <f t="shared" ref="C2268:C2294" si="2162">C2267</f>
        <v>CH</v>
      </c>
      <c r="D2268" t="s">
        <v>2402</v>
      </c>
      <c r="E2268" t="str">
        <f t="shared" ref="E2268:E2299" si="2163">E2267</f>
        <v>GWth/yr.</v>
      </c>
      <c r="F2268" s="1">
        <f t="shared" ref="F2268:L2268" si="2164">F2269</f>
        <v>0</v>
      </c>
      <c r="G2268" s="1">
        <f t="shared" si="2164"/>
        <v>8.2498489235336495E-2</v>
      </c>
      <c r="H2268" s="1">
        <f t="shared" si="2164"/>
        <v>7.3637873537376398E-7</v>
      </c>
      <c r="I2268" s="1">
        <f t="shared" si="2164"/>
        <v>2.8555492063189901E-6</v>
      </c>
      <c r="J2268" s="1">
        <f t="shared" si="2164"/>
        <v>0.25018563641812702</v>
      </c>
      <c r="K2268" s="1">
        <f t="shared" si="2164"/>
        <v>0.189716051522237</v>
      </c>
      <c r="L2268" s="1">
        <f t="shared" si="2164"/>
        <v>0.261764489158195</v>
      </c>
      <c r="N2268" s="1"/>
    </row>
    <row r="2269" spans="2:14" x14ac:dyDescent="0.35">
      <c r="B2269" s="5" t="str">
        <f t="shared" si="2161"/>
        <v>SPS1</v>
      </c>
      <c r="C2269" s="5" t="str">
        <f t="shared" si="2162"/>
        <v>CH</v>
      </c>
      <c r="D2269" t="s">
        <v>2403</v>
      </c>
      <c r="E2269" t="str">
        <f t="shared" si="2163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8.2498489235336495E-2</v>
      </c>
      <c r="H2269" s="1" cm="1">
        <f t="array" ref="H2269">SUMPRODUCT(([1]OUT_FinalEnergyCons!$B$4:$B$10000="var_ncap")*1, (ISNUMBER(SEARCH("RH*-WHSOLBR",[1]OUT_FinalEnergyCons!$A$4:$A$10000)))*1,[1]OUT_FinalEnergyCons!F$4:F$10000)</f>
        <v>7.3637873537376398E-7</v>
      </c>
      <c r="I2269" s="1" cm="1">
        <f t="array" ref="I2269">SUMPRODUCT(([1]OUT_FinalEnergyCons!$B$4:$B$10000="var_ncap")*1, (ISNUMBER(SEARCH("RH*-WHSOLBR",[1]OUT_FinalEnergyCons!$A$4:$A$10000)))*1,[1]OUT_FinalEnergyCons!G$4:G$10000)</f>
        <v>2.8555492063189901E-6</v>
      </c>
      <c r="J2269" s="1" cm="1">
        <f t="array" ref="J2269">SUMPRODUCT(([2]OUT_FinalEnergyCons!$B$4:$B$10000="var_ncap")*1, (ISNUMBER(SEARCH("RH*-WHSOLBR",[2]OUT_FinalEnergyCons!$A$4:$A$10000)))*1,[2]OUT_FinalEnergyCons!H$4:H$10000)</f>
        <v>0.25018563641812702</v>
      </c>
      <c r="K2269" s="1" cm="1">
        <f t="array" ref="K2269">SUMPRODUCT(([2]OUT_FinalEnergyCons!$B$4:$B$10000="var_ncap")*1, (ISNUMBER(SEARCH("RH*-WHSOLBR",[2]OUT_FinalEnergyCons!$A$4:$A$10000)))*1,[2]OUT_FinalEnergyCons!I$4:I$10000)</f>
        <v>0.189716051522237</v>
      </c>
      <c r="L2269" s="1" cm="1">
        <f t="array" ref="L2269">SUMPRODUCT(([2]OUT_FinalEnergyCons!$B$4:$B$10000="var_ncap")*1, (ISNUMBER(SEARCH("RH*-WHSOLBR",[2]OUT_FinalEnergyCons!$A$4:$A$10000)))*1,[2]OUT_FinalEnergyCons!J$4:J$10000)</f>
        <v>0.261764489158195</v>
      </c>
      <c r="N2269" s="1"/>
    </row>
    <row r="2270" spans="2:14" x14ac:dyDescent="0.35">
      <c r="B2270" s="5" t="str">
        <f t="shared" si="2161"/>
        <v>SPS1</v>
      </c>
      <c r="C2270" s="5" t="str">
        <f t="shared" si="2162"/>
        <v>CH</v>
      </c>
      <c r="D2270" t="s">
        <v>2404</v>
      </c>
      <c r="E2270" t="str">
        <f t="shared" si="2163"/>
        <v>GWth/yr.</v>
      </c>
      <c r="F2270" s="1">
        <f t="shared" ref="F2270:L2270" si="2165">F2271</f>
        <v>0</v>
      </c>
      <c r="G2270" s="1">
        <f t="shared" si="2165"/>
        <v>0</v>
      </c>
      <c r="H2270" s="1">
        <f t="shared" si="2165"/>
        <v>0</v>
      </c>
      <c r="I2270" s="1">
        <f t="shared" si="2165"/>
        <v>0</v>
      </c>
      <c r="J2270" s="1">
        <f t="shared" si="2165"/>
        <v>0</v>
      </c>
      <c r="K2270" s="1">
        <f t="shared" si="2165"/>
        <v>0</v>
      </c>
      <c r="L2270" s="1">
        <f t="shared" si="2165"/>
        <v>0</v>
      </c>
      <c r="N2270" s="1"/>
    </row>
    <row r="2271" spans="2:14" x14ac:dyDescent="0.35">
      <c r="B2271" s="5" t="str">
        <f t="shared" si="2161"/>
        <v>SPS1</v>
      </c>
      <c r="C2271" s="5" t="str">
        <f t="shared" si="2162"/>
        <v>CH</v>
      </c>
      <c r="D2271" t="s">
        <v>2405</v>
      </c>
      <c r="E2271" t="str">
        <f t="shared" si="2163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1"/>
        <v>SPS1</v>
      </c>
      <c r="C2272" s="9" t="str">
        <f t="shared" si="2162"/>
        <v>CH</v>
      </c>
      <c r="D2272" s="2" t="s">
        <v>2406</v>
      </c>
      <c r="E2272" s="9" t="str">
        <f t="shared" si="2163"/>
        <v>GWth/yr.</v>
      </c>
      <c r="F2272" s="17">
        <f t="shared" ref="F2272:K2272" si="2166">SUM(F2273,F2276,F2279,F2283,F2285,F2287,F2289,F2291,F2293)</f>
        <v>6.4137391910455699E-4</v>
      </c>
      <c r="G2272" s="17">
        <f t="shared" si="2166"/>
        <v>0.27814498220387551</v>
      </c>
      <c r="H2272" s="17">
        <f t="shared" si="2166"/>
        <v>0.13667696255811218</v>
      </c>
      <c r="I2272" s="17">
        <f t="shared" si="2166"/>
        <v>0.35951392664033893</v>
      </c>
      <c r="J2272" s="17">
        <f t="shared" si="2166"/>
        <v>1.9417081223549995</v>
      </c>
      <c r="K2272" s="17">
        <f t="shared" si="2166"/>
        <v>1.2085338594942723</v>
      </c>
      <c r="L2272" s="17">
        <f t="shared" ref="L2272" si="2167">SUM(L2273,L2276,L2279,L2283,L2285,L2287,L2289,L2291,L2293)</f>
        <v>2.0479462887295172</v>
      </c>
      <c r="N2272" s="1"/>
    </row>
    <row r="2273" spans="2:14" x14ac:dyDescent="0.35">
      <c r="B2273" s="5" t="str">
        <f t="shared" si="2161"/>
        <v>SPS1</v>
      </c>
      <c r="C2273" s="5" t="str">
        <f t="shared" si="2162"/>
        <v>CH</v>
      </c>
      <c r="D2273" t="s">
        <v>2407</v>
      </c>
      <c r="E2273" t="str">
        <f t="shared" si="2163"/>
        <v>GWth/yr.</v>
      </c>
      <c r="F2273" s="18">
        <f t="shared" ref="F2273:K2273" si="2168">SUM(F2274:F2275)</f>
        <v>0</v>
      </c>
      <c r="G2273" s="18">
        <f t="shared" si="2168"/>
        <v>0.2137057891134338</v>
      </c>
      <c r="H2273" s="18">
        <f t="shared" si="2168"/>
        <v>1.89604103230683E-3</v>
      </c>
      <c r="I2273" s="18">
        <f t="shared" si="2168"/>
        <v>0.357271528252527</v>
      </c>
      <c r="J2273" s="18">
        <f t="shared" si="2168"/>
        <v>0.66103391519996901</v>
      </c>
      <c r="K2273" s="18">
        <f t="shared" si="2168"/>
        <v>0.47473828182946398</v>
      </c>
      <c r="L2273" s="18">
        <f t="shared" ref="L2273" si="2169">SUM(L2274:L2275)</f>
        <v>1.0804521724152889</v>
      </c>
      <c r="N2273" s="1"/>
    </row>
    <row r="2274" spans="2:14" x14ac:dyDescent="0.35">
      <c r="B2274" s="5" t="str">
        <f t="shared" si="2161"/>
        <v>SPS1</v>
      </c>
      <c r="C2274" s="5" t="str">
        <f t="shared" si="2162"/>
        <v>CH</v>
      </c>
      <c r="D2274" t="s">
        <v>2408</v>
      </c>
      <c r="E2274" t="str">
        <f t="shared" si="2163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0.19759410927395599</v>
      </c>
      <c r="H2274" s="1" cm="1">
        <f t="array" ref="H2274">SUMPRODUCT(([1]OUT_FinalEnergyCons!$B$4:$B$10000="var_ncap")*1,  (ISNUMBER(SEARCH("ITOT-SWHELCBR",[1]OUT_FinalEnergyCons!$A$4:$A$10000)))*1,[1]OUT_FinalEnergyCons!F$4:F$10000)</f>
        <v>3.0211428293144002E-4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0.11273591179199199</v>
      </c>
      <c r="J2274" s="1" cm="1">
        <f t="array" ref="J2274">SUMPRODUCT(([2]OUT_FinalEnergyCons!$B$4:$B$10000="var_ncap")*1,  (ISNUMBER(SEARCH("ITOT-SWHELCBR",[2]OUT_FinalEnergyCons!$A$4:$A$10000)))*1,[2]OUT_FinalEnergyCons!H$4:H$10000)</f>
        <v>0.48443644050504497</v>
      </c>
      <c r="K2274" s="1" cm="1">
        <f t="array" ref="K2274">SUMPRODUCT(([2]OUT_FinalEnergyCons!$B$4:$B$10000="var_ncap")*1,  (ISNUMBER(SEARCH("ITOT-SWHELCBR",[2]OUT_FinalEnergyCons!$A$4:$A$10000)))*1,[2]OUT_FinalEnergyCons!I$4:I$10000)</f>
        <v>0.35514744156957301</v>
      </c>
      <c r="L2274" s="1" cm="1">
        <f t="array" ref="L2274">SUMPRODUCT(([2]OUT_FinalEnergyCons!$B$4:$B$10000="var_ncap")*1,  (ISNUMBER(SEARCH("ITOT-SWHELCBR",[2]OUT_FinalEnergyCons!$A$4:$A$10000)))*1,[2]OUT_FinalEnergyCons!J$4:J$10000)</f>
        <v>0.78416079781541603</v>
      </c>
      <c r="N2274" s="1"/>
    </row>
    <row r="2275" spans="2:14" x14ac:dyDescent="0.35">
      <c r="B2275" s="5" t="str">
        <f t="shared" si="2161"/>
        <v>SPS1</v>
      </c>
      <c r="C2275" s="5" t="str">
        <f t="shared" si="2162"/>
        <v>CH</v>
      </c>
      <c r="D2275" t="s">
        <v>2409</v>
      </c>
      <c r="E2275" t="str">
        <f t="shared" si="2163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1.61116798394778E-2</v>
      </c>
      <c r="H2275" s="1" cm="1">
        <f t="array" ref="H2275">SUMPRODUCT(([1]OUT_FinalEnergyCons!$B$4:$B$10000="var_ncap")*1,  (ISNUMBER(SEARCH("ITOT-SWHELCHP",[1]OUT_FinalEnergyCons!$A$4:$A$10000)))*1,[1]OUT_FinalEnergyCons!F$4:F$10000)</f>
        <v>1.5939267493753899E-3</v>
      </c>
      <c r="I2275" s="1" cm="1">
        <f t="array" ref="I2275">SUMPRODUCT(([1]OUT_FinalEnergyCons!$B$4:$B$10000="var_ncap")*1,  (ISNUMBER(SEARCH("ITOT-SWHELCHP",[1]OUT_FinalEnergyCons!$A$4:$A$10000)))*1,[1]OUT_FinalEnergyCons!G$4:G$10000)</f>
        <v>0.24453561646053501</v>
      </c>
      <c r="J2275" s="1" cm="1">
        <f t="array" ref="J2275">SUMPRODUCT(([2]OUT_FinalEnergyCons!$B$4:$B$10000="var_ncap")*1,  (ISNUMBER(SEARCH("ITOT-SWHELCHP",[2]OUT_FinalEnergyCons!$A$4:$A$10000)))*1,[2]OUT_FinalEnergyCons!H$4:H$10000)</f>
        <v>0.17659747469492401</v>
      </c>
      <c r="K2275" s="1" cm="1">
        <f t="array" ref="K2275">SUMPRODUCT(([2]OUT_FinalEnergyCons!$B$4:$B$10000="var_ncap")*1,  (ISNUMBER(SEARCH("ITOT-SWHELCHP",[2]OUT_FinalEnergyCons!$A$4:$A$10000)))*1,[2]OUT_FinalEnergyCons!I$4:I$10000)</f>
        <v>0.119590840259891</v>
      </c>
      <c r="L2275" s="1" cm="1">
        <f t="array" ref="L2275">SUMPRODUCT(([2]OUT_FinalEnergyCons!$B$4:$B$10000="var_ncap")*1,  (ISNUMBER(SEARCH("ITOT-SWHELCHP",[2]OUT_FinalEnergyCons!$A$4:$A$10000)))*1,[2]OUT_FinalEnergyCons!J$4:J$10000)</f>
        <v>0.29629137459987298</v>
      </c>
      <c r="N2275" s="1"/>
    </row>
    <row r="2276" spans="2:14" x14ac:dyDescent="0.35">
      <c r="B2276" s="5" t="str">
        <f t="shared" si="2161"/>
        <v>SPS1</v>
      </c>
      <c r="C2276" s="5" t="str">
        <f t="shared" si="2162"/>
        <v>CH</v>
      </c>
      <c r="D2276" t="s">
        <v>2410</v>
      </c>
      <c r="E2276" t="str">
        <f t="shared" si="2163"/>
        <v>GWth/yr.</v>
      </c>
      <c r="F2276" s="18">
        <f t="shared" ref="F2276:K2276" si="2170">SUM(F2277:F2278)</f>
        <v>6.4137391910455699E-4</v>
      </c>
      <c r="G2276" s="18">
        <f t="shared" si="2170"/>
        <v>2.2619341595056522E-4</v>
      </c>
      <c r="H2276" s="18">
        <f t="shared" si="2170"/>
        <v>6.0362860474534293E-5</v>
      </c>
      <c r="I2276" s="18">
        <f t="shared" si="2170"/>
        <v>5.2634670422942596E-5</v>
      </c>
      <c r="J2276" s="18">
        <f t="shared" si="2170"/>
        <v>0.14466556738570191</v>
      </c>
      <c r="K2276" s="18">
        <f t="shared" si="2170"/>
        <v>8.4671638420578843E-2</v>
      </c>
      <c r="L2276" s="18">
        <f t="shared" ref="L2276" si="2171">SUM(L2277:L2278)</f>
        <v>5.6934475628676403E-6</v>
      </c>
      <c r="N2276" s="1"/>
    </row>
    <row r="2277" spans="2:14" x14ac:dyDescent="0.35">
      <c r="B2277" s="5" t="str">
        <f t="shared" si="2161"/>
        <v>SPS1</v>
      </c>
      <c r="C2277" s="5" t="str">
        <f t="shared" si="2162"/>
        <v>CH</v>
      </c>
      <c r="D2277" t="s">
        <v>2411</v>
      </c>
      <c r="E2277" t="str">
        <f t="shared" si="2163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2.0391844500901001E-4</v>
      </c>
      <c r="H2277" s="1" cm="1">
        <f t="array" ref="H2277">SUMPRODUCT(([1]OUT_FinalEnergyCons!$B$4:$B$10000="var_ncap")*1,  (ISNUMBER(SEARCH("ITOT-SWHLFOBR",[1]OUT_FinalEnergyCons!$A$4:$A$10000)))*1,[1]OUT_FinalEnergyCons!F$4:F$10000)</f>
        <v>4.3617918148837198E-5</v>
      </c>
      <c r="I2277" s="1" cm="1">
        <f t="array" ref="I2277">SUMPRODUCT(([1]OUT_FinalEnergyCons!$B$4:$B$10000="var_ncap")*1,  (ISNUMBER(SEARCH("ITOT-SWHLFOBR",[1]OUT_FinalEnergyCons!$A$4:$A$10000)))*1,[1]OUT_FinalEnergyCons!G$4:G$10000)</f>
        <v>3.43228327621638E-5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0.144632336813561</v>
      </c>
      <c r="K2277" s="1" cm="1">
        <f t="array" ref="K2277">SUMPRODUCT(([2]OUT_FinalEnergyCons!$B$4:$B$10000="var_ncap")*1,  (ISNUMBER(SEARCH("ITOT-SWHLFOBR",[2]OUT_FinalEnergyCons!$A$4:$A$10000)))*1,[2]OUT_FinalEnergyCons!I$4:I$10000)</f>
        <v>8.4550640659706994E-2</v>
      </c>
      <c r="L2277" s="1" cm="1">
        <f t="array" ref="L2277">SUMPRODUCT(([2]OUT_FinalEnergyCons!$B$4:$B$10000="var_ncap")*1,  (ISNUMBER(SEARCH("ITOT-SWHLFOBR",[2]OUT_FinalEnergyCons!$A$4:$A$10000)))*1,[2]OUT_FinalEnergyCons!J$4:J$10000)</f>
        <v>4.6258366888863301E-6</v>
      </c>
      <c r="N2277" s="1"/>
    </row>
    <row r="2278" spans="2:14" x14ac:dyDescent="0.35">
      <c r="B2278" s="5" t="str">
        <f t="shared" si="2161"/>
        <v>SPS1</v>
      </c>
      <c r="C2278" s="5" t="str">
        <f t="shared" si="2162"/>
        <v>CH</v>
      </c>
      <c r="D2278" t="s">
        <v>2412</v>
      </c>
      <c r="E2278" t="str">
        <f t="shared" si="2163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6.4137391910455699E-4</v>
      </c>
      <c r="G2278" s="1" cm="1">
        <f t="array" ref="G2278">SUMPRODUCT(([1]OUT_FinalEnergyCons!$B$4:$B$10000="var_ncap")*1,  (ISNUMBER(SEARCH("ITOT-SWHHFOBR",[1]OUT_FinalEnergyCons!$A$4:$A$10000)))*1,[1]OUT_FinalEnergyCons!E$4:E$10000)</f>
        <v>2.2274970941555201E-5</v>
      </c>
      <c r="H2278" s="1" cm="1">
        <f t="array" ref="H2278">SUMPRODUCT(([1]OUT_FinalEnergyCons!$B$4:$B$10000="var_ncap")*1,  (ISNUMBER(SEARCH("ITOT-SWHHFOBR",[1]OUT_FinalEnergyCons!$A$4:$A$10000)))*1,[1]OUT_FinalEnergyCons!F$4:F$10000)</f>
        <v>1.6744942325697098E-5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1.8311837660778799E-5</v>
      </c>
      <c r="J2278" s="1" cm="1">
        <f t="array" ref="J2278">SUMPRODUCT(([2]OUT_FinalEnergyCons!$B$4:$B$10000="var_ncap")*1,  (ISNUMBER(SEARCH("ITOT-SWHHFOBR",[2]OUT_FinalEnergyCons!$A$4:$A$10000)))*1,[2]OUT_FinalEnergyCons!H$4:H$10000)</f>
        <v>3.32305721409187E-5</v>
      </c>
      <c r="K2278" s="1" cm="1">
        <f t="array" ref="K2278">SUMPRODUCT(([2]OUT_FinalEnergyCons!$B$4:$B$10000="var_ncap")*1,  (ISNUMBER(SEARCH("ITOT-SWHHFOBR",[2]OUT_FinalEnergyCons!$A$4:$A$10000)))*1,[2]OUT_FinalEnergyCons!I$4:I$10000)</f>
        <v>1.20997760871849E-4</v>
      </c>
      <c r="L2278" s="1" cm="1">
        <f t="array" ref="L2278">SUMPRODUCT(([2]OUT_FinalEnergyCons!$B$4:$B$10000="var_ncap")*1,  (ISNUMBER(SEARCH("ITOT-SWHHFOBR",[2]OUT_FinalEnergyCons!$A$4:$A$10000)))*1,[2]OUT_FinalEnergyCons!J$4:J$10000)</f>
        <v>1.06761087398131E-6</v>
      </c>
      <c r="N2278" s="1"/>
    </row>
    <row r="2279" spans="2:14" x14ac:dyDescent="0.35">
      <c r="B2279" s="5" t="str">
        <f t="shared" si="2161"/>
        <v>SPS1</v>
      </c>
      <c r="C2279" s="5" t="str">
        <f t="shared" si="2162"/>
        <v>CH</v>
      </c>
      <c r="D2279" t="s">
        <v>2413</v>
      </c>
      <c r="E2279" t="str">
        <f t="shared" si="2163"/>
        <v>GWth/yr.</v>
      </c>
      <c r="F2279" s="18">
        <f t="shared" ref="F2279:K2279" si="2172">SUM(F2280:F2281)</f>
        <v>0</v>
      </c>
      <c r="G2279" s="18">
        <f t="shared" si="2172"/>
        <v>1.0221938618258371E-3</v>
      </c>
      <c r="H2279" s="18">
        <f t="shared" si="2172"/>
        <v>4.1977348656649594E-5</v>
      </c>
      <c r="I2279" s="18">
        <f t="shared" si="2172"/>
        <v>2.3250994096792151E-5</v>
      </c>
      <c r="J2279" s="18">
        <f t="shared" si="2172"/>
        <v>0.26974600189784814</v>
      </c>
      <c r="K2279" s="18">
        <f t="shared" si="2172"/>
        <v>7.2255274151914198E-2</v>
      </c>
      <c r="L2279" s="18">
        <f t="shared" ref="L2279" si="2173">SUM(L2280:L2281)</f>
        <v>4.6548630073353079E-5</v>
      </c>
      <c r="N2279" s="1"/>
    </row>
    <row r="2280" spans="2:14" x14ac:dyDescent="0.35">
      <c r="B2280" s="5" t="str">
        <f t="shared" si="2161"/>
        <v>SPS1</v>
      </c>
      <c r="C2280" s="5" t="str">
        <f t="shared" si="2162"/>
        <v>CH</v>
      </c>
      <c r="D2280" t="s">
        <v>2414</v>
      </c>
      <c r="E2280" t="str">
        <f t="shared" si="2163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5.08556915481791E-5</v>
      </c>
      <c r="H2280" s="1" cm="1">
        <f t="array" ref="H2280">SUMPRODUCT(([1]OUT_FinalEnergyCons!$B$4:$B$10000="var_ncap")*1,  (ISNUMBER(SEARCH("ITOT-SWHNGA*BR",[1]OUT_FinalEnergyCons!$A$4:$A$10000)))*1,[1]OUT_FinalEnergyCons!F$4:F$10000)</f>
        <v>2.0501973775670598E-5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2.0938049380203301E-5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0.26974190560910999</v>
      </c>
      <c r="K2280" s="1" cm="1">
        <f t="array" ref="K2280">SUMPRODUCT(([2]OUT_FinalEnergyCons!$B$4:$B$10000="var_ncap")*1,  (ISNUMBER(SEARCH("ITOT-SWHNGA*BR",[2]OUT_FinalEnergyCons!$A$4:$A$10000)))*1,[2]OUT_FinalEnergyCons!I$4:I$10000)</f>
        <v>7.2097669786983995E-2</v>
      </c>
      <c r="L2280" s="1" cm="1">
        <f t="array" ref="L2280">SUMPRODUCT(([2]OUT_FinalEnergyCons!$B$4:$B$10000="var_ncap")*1,  (ISNUMBER(SEARCH("ITOT-SWHNGA*BR",[2]OUT_FinalEnergyCons!$A$4:$A$10000)))*1,[2]OUT_FinalEnergyCons!J$4:J$10000)</f>
        <v>2.74091146042438E-6</v>
      </c>
      <c r="N2280" s="1"/>
    </row>
    <row r="2281" spans="2:14" x14ac:dyDescent="0.35">
      <c r="B2281" s="5" t="str">
        <f t="shared" si="2161"/>
        <v>SPS1</v>
      </c>
      <c r="C2281" s="5" t="str">
        <f t="shared" si="2162"/>
        <v>CH</v>
      </c>
      <c r="D2281" t="s">
        <v>2415</v>
      </c>
      <c r="E2281" t="str">
        <f t="shared" si="2163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9.7133817027765805E-4</v>
      </c>
      <c r="H2281" s="1" cm="1">
        <f t="array" ref="H2281">SUMPRODUCT(([1]OUT_FinalEnergyCons!$B$4:$B$10000="var_ncap")*1,  (ISNUMBER(SEARCH("ITOT-SWHNGAHP",[1]OUT_FinalEnergyCons!$A$4:$A$10000)))*1,[1]OUT_FinalEnergyCons!F$4:F$10000)</f>
        <v>2.1475374880978999E-5</v>
      </c>
      <c r="I2281" s="1" cm="1">
        <f t="array" ref="I2281">SUMPRODUCT(([1]OUT_FinalEnergyCons!$B$4:$B$10000="var_ncap")*1,  (ISNUMBER(SEARCH("ITOT-SWHNGAHP",[1]OUT_FinalEnergyCons!$A$4:$A$10000)))*1,[1]OUT_FinalEnergyCons!G$4:G$10000)</f>
        <v>2.31294471658885E-6</v>
      </c>
      <c r="J2281" s="1" cm="1">
        <f t="array" ref="J2281">SUMPRODUCT(([2]OUT_FinalEnergyCons!$B$4:$B$10000="var_ncap")*1,  (ISNUMBER(SEARCH("ITOT-SWHNGAHP",[2]OUT_FinalEnergyCons!$A$4:$A$10000)))*1,[2]OUT_FinalEnergyCons!H$4:H$10000)</f>
        <v>4.0962887381361102E-6</v>
      </c>
      <c r="K2281" s="1" cm="1">
        <f t="array" ref="K2281">SUMPRODUCT(([2]OUT_FinalEnergyCons!$B$4:$B$10000="var_ncap")*1,  (ISNUMBER(SEARCH("ITOT-SWHNGAHP",[2]OUT_FinalEnergyCons!$A$4:$A$10000)))*1,[2]OUT_FinalEnergyCons!I$4:I$10000)</f>
        <v>1.5760436493020299E-4</v>
      </c>
      <c r="L2281" s="1" cm="1">
        <f t="array" ref="L2281">SUMPRODUCT(([2]OUT_FinalEnergyCons!$B$4:$B$10000="var_ncap")*1,  (ISNUMBER(SEARCH("ITOT-SWHNGAHP",[2]OUT_FinalEnergyCons!$A$4:$A$10000)))*1,[2]OUT_FinalEnergyCons!J$4:J$10000)</f>
        <v>4.3807718612928701E-5</v>
      </c>
      <c r="N2281" s="1"/>
    </row>
    <row r="2282" spans="2:14" x14ac:dyDescent="0.35">
      <c r="B2282" s="5" t="str">
        <f t="shared" si="2161"/>
        <v>SPS1</v>
      </c>
      <c r="C2282" s="5" t="str">
        <f t="shared" si="2162"/>
        <v>CH</v>
      </c>
      <c r="D2282" t="s">
        <v>2416</v>
      </c>
      <c r="E2282" t="str">
        <f t="shared" si="2163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1.7457338553403801E-2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0.14377172724023701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0.14969707509317901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0.114652697729808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0.227033336501231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0.33302935426291302</v>
      </c>
      <c r="N2282" s="1"/>
    </row>
    <row r="2283" spans="2:14" x14ac:dyDescent="0.35">
      <c r="B2283" s="5" t="str">
        <f t="shared" si="2161"/>
        <v>SPS1</v>
      </c>
      <c r="C2283" s="5" t="str">
        <f t="shared" si="2162"/>
        <v>CH</v>
      </c>
      <c r="D2283" t="s">
        <v>2417</v>
      </c>
      <c r="E2283" t="str">
        <f t="shared" si="2163"/>
        <v>GWth/yr.</v>
      </c>
      <c r="F2283" s="1">
        <f t="shared" ref="F2283:L2283" si="2174">F2284</f>
        <v>0</v>
      </c>
      <c r="G2283" s="1">
        <f t="shared" si="2174"/>
        <v>8.8164783741167896E-6</v>
      </c>
      <c r="H2283" s="1">
        <f t="shared" si="2174"/>
        <v>5.4764450466421203E-6</v>
      </c>
      <c r="I2283" s="1">
        <f t="shared" si="2174"/>
        <v>8.7721004935959006E-6</v>
      </c>
      <c r="J2283" s="1">
        <f t="shared" si="2174"/>
        <v>1.97789560478739E-5</v>
      </c>
      <c r="K2283" s="1">
        <f t="shared" si="2174"/>
        <v>2.52677820211882E-2</v>
      </c>
      <c r="L2283" s="1">
        <f t="shared" si="2174"/>
        <v>1.8486119124707701E-6</v>
      </c>
      <c r="N2283" s="1"/>
    </row>
    <row r="2284" spans="2:14" x14ac:dyDescent="0.35">
      <c r="B2284" s="5" t="str">
        <f t="shared" si="2161"/>
        <v>SPS1</v>
      </c>
      <c r="C2284" s="5" t="str">
        <f t="shared" si="2162"/>
        <v>CH</v>
      </c>
      <c r="D2284" t="s">
        <v>2418</v>
      </c>
      <c r="E2284" t="str">
        <f t="shared" si="2163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8.8164783741167896E-6</v>
      </c>
      <c r="H2284" s="1" cm="1">
        <f t="array" ref="H2284">SUMPRODUCT(([1]OUT_FinalEnergyCons!$B$4:$B$10000="var_ncap")*1,  (ISNUMBER(SEARCH("ITOT-SWHCOA*BR",[1]OUT_FinalEnergyCons!$A$4:$A$10000)))*1,[1]OUT_FinalEnergyCons!F$4:F$10000)</f>
        <v>5.4764450466421203E-6</v>
      </c>
      <c r="I2284" s="1" cm="1">
        <f t="array" ref="I2284">SUMPRODUCT(([1]OUT_FinalEnergyCons!$B$4:$B$10000="var_ncap")*1,  (ISNUMBER(SEARCH("ITOT-SWHCOA*BR",[1]OUT_FinalEnergyCons!$A$4:$A$10000)))*1,[1]OUT_FinalEnergyCons!G$4:G$10000)</f>
        <v>8.7721004935959006E-6</v>
      </c>
      <c r="J2284" s="1" cm="1">
        <f t="array" ref="J2284">SUMPRODUCT(([2]OUT_FinalEnergyCons!$B$4:$B$10000="var_ncap")*1,  (ISNUMBER(SEARCH("ITOT-SWHCOA*BR",[2]OUT_FinalEnergyCons!$A$4:$A$10000)))*1,[2]OUT_FinalEnergyCons!H$4:H$10000)</f>
        <v>1.97789560478739E-5</v>
      </c>
      <c r="K2284" s="1" cm="1">
        <f t="array" ref="K2284">SUMPRODUCT(([2]OUT_FinalEnergyCons!$B$4:$B$10000="var_ncap")*1,  (ISNUMBER(SEARCH("ITOT-SWHCOA*BR",[2]OUT_FinalEnergyCons!$A$4:$A$10000)))*1,[2]OUT_FinalEnergyCons!I$4:I$10000)</f>
        <v>2.52677820211882E-2</v>
      </c>
      <c r="L2284" s="1" cm="1">
        <f t="array" ref="L2284">SUMPRODUCT(([2]OUT_FinalEnergyCons!$B$4:$B$10000="var_ncap")*1,  (ISNUMBER(SEARCH("ITOT-SWHCOA*BR",[2]OUT_FinalEnergyCons!$A$4:$A$10000)))*1,[2]OUT_FinalEnergyCons!J$4:J$10000)</f>
        <v>1.8486119124707701E-6</v>
      </c>
      <c r="N2284" s="1"/>
    </row>
    <row r="2285" spans="2:14" x14ac:dyDescent="0.35">
      <c r="B2285" s="5" t="str">
        <f t="shared" si="2161"/>
        <v>SPS1</v>
      </c>
      <c r="C2285" s="5" t="str">
        <f t="shared" si="2162"/>
        <v>CH</v>
      </c>
      <c r="D2285" t="s">
        <v>2419</v>
      </c>
      <c r="E2285" t="str">
        <f t="shared" si="2163"/>
        <v>GWth/yr.</v>
      </c>
      <c r="F2285" s="1">
        <f t="shared" ref="F2285:L2285" si="2175">F2286</f>
        <v>0</v>
      </c>
      <c r="G2285" s="1">
        <f t="shared" si="2175"/>
        <v>5.23059170394694E-2</v>
      </c>
      <c r="H2285" s="1">
        <f t="shared" si="2175"/>
        <v>5.6670095932726901E-6</v>
      </c>
      <c r="I2285" s="1">
        <f t="shared" si="2175"/>
        <v>1.03806483276049E-5</v>
      </c>
      <c r="J2285" s="1">
        <f t="shared" si="2175"/>
        <v>0.108027761193229</v>
      </c>
      <c r="K2285" s="1">
        <f t="shared" si="2175"/>
        <v>0.175360261420481</v>
      </c>
      <c r="L2285" s="1">
        <f t="shared" si="2175"/>
        <v>0.11176911377754201</v>
      </c>
      <c r="N2285" s="1"/>
    </row>
    <row r="2286" spans="2:14" x14ac:dyDescent="0.35">
      <c r="B2286" s="5" t="str">
        <f t="shared" si="2161"/>
        <v>SPS1</v>
      </c>
      <c r="C2286" s="5" t="str">
        <f t="shared" si="2162"/>
        <v>CH</v>
      </c>
      <c r="D2286" t="s">
        <v>2420</v>
      </c>
      <c r="E2286" t="str">
        <f t="shared" si="2163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5.23059170394694E-2</v>
      </c>
      <c r="H2286" s="1" cm="1">
        <f t="array" ref="H2286">SUMPRODUCT(([1]OUT_FinalEnergyCons!$B$4:$B$10000="var_ncap")*1,  (ISNUMBER(SEARCH("ITOT-SWHWOD*BR",[1]OUT_FinalEnergyCons!$A$4:$A$10000)))*1,[1]OUT_FinalEnergyCons!F$4:F$10000)</f>
        <v>5.6670095932726901E-6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1.03806483276049E-5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0.108027761193229</v>
      </c>
      <c r="K2286" s="1" cm="1">
        <f t="array" ref="K2286">SUMPRODUCT(([2]OUT_FinalEnergyCons!$B$4:$B$10000="var_ncap")*1,  (ISNUMBER(SEARCH("ITOT-SWHWOD*BR",[2]OUT_FinalEnergyCons!$A$4:$A$10000)))*1,[2]OUT_FinalEnergyCons!I$4:I$10000)</f>
        <v>0.175360261420481</v>
      </c>
      <c r="L2286" s="1" cm="1">
        <f t="array" ref="L2286">SUMPRODUCT(([2]OUT_FinalEnergyCons!$B$4:$B$10000="var_ncap")*1,  (ISNUMBER(SEARCH("ITOT-SWHWOD*BR",[2]OUT_FinalEnergyCons!$A$4:$A$10000)))*1,[2]OUT_FinalEnergyCons!J$4:J$10000)</f>
        <v>0.11176911377754201</v>
      </c>
      <c r="N2286" s="1"/>
    </row>
    <row r="2287" spans="2:14" x14ac:dyDescent="0.35">
      <c r="B2287" s="5" t="str">
        <f t="shared" si="2161"/>
        <v>SPS1</v>
      </c>
      <c r="C2287" s="5" t="str">
        <f t="shared" si="2162"/>
        <v>CH</v>
      </c>
      <c r="D2287" t="s">
        <v>2421</v>
      </c>
      <c r="E2287" t="str">
        <f t="shared" si="2163"/>
        <v>GWth/yr.</v>
      </c>
      <c r="F2287" s="1">
        <f t="shared" ref="F2287:L2287" si="2176">F2288</f>
        <v>0</v>
      </c>
      <c r="G2287" s="1">
        <f t="shared" si="2176"/>
        <v>8.0956226441289501E-3</v>
      </c>
      <c r="H2287" s="1">
        <f t="shared" si="2176"/>
        <v>0.134652244154258</v>
      </c>
      <c r="I2287" s="1">
        <f t="shared" si="2176"/>
        <v>5.4163774783058595E-4</v>
      </c>
      <c r="J2287" s="1">
        <f t="shared" si="2176"/>
        <v>6.5878986535994999E-2</v>
      </c>
      <c r="K2287" s="1">
        <f t="shared" si="2176"/>
        <v>0.10324725547850799</v>
      </c>
      <c r="L2287" s="1">
        <f t="shared" si="2176"/>
        <v>0.10600347457015701</v>
      </c>
      <c r="N2287" s="1"/>
    </row>
    <row r="2288" spans="2:14" x14ac:dyDescent="0.35">
      <c r="B2288" s="5" t="str">
        <f t="shared" si="2161"/>
        <v>SPS1</v>
      </c>
      <c r="C2288" s="5" t="str">
        <f t="shared" si="2162"/>
        <v>CH</v>
      </c>
      <c r="D2288" t="s">
        <v>2422</v>
      </c>
      <c r="E2288" t="str">
        <f t="shared" si="2163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8.0956226441289501E-3</v>
      </c>
      <c r="H2288" s="1" cm="1">
        <f t="array" ref="H2288">SUMPRODUCT(([1]OUT_FinalEnergyCons!$B$4:$B$10000="var_ncap")*1,  (ISNUMBER(SEARCH("ITOT-SWHPLT*BR",[1]OUT_FinalEnergyCons!$A$4:$A$10000)))*1,[1]OUT_FinalEnergyCons!F$4:F$10000)</f>
        <v>0.134652244154258</v>
      </c>
      <c r="I2288" s="1" cm="1">
        <f t="array" ref="I2288">SUMPRODUCT(([1]OUT_FinalEnergyCons!$B$4:$B$10000="var_ncap")*1,  (ISNUMBER(SEARCH("ITOT-SWHPLT*BR",[1]OUT_FinalEnergyCons!$A$4:$A$10000)))*1,[1]OUT_FinalEnergyCons!G$4:G$10000)</f>
        <v>5.4163774783058595E-4</v>
      </c>
      <c r="J2288" s="1" cm="1">
        <f t="array" ref="J2288">SUMPRODUCT(([2]OUT_FinalEnergyCons!$B$4:$B$10000="var_ncap")*1,  (ISNUMBER(SEARCH("ITOT-SWHPLT*BR",[2]OUT_FinalEnergyCons!$A$4:$A$10000)))*1,[2]OUT_FinalEnergyCons!H$4:H$10000)</f>
        <v>6.5878986535994999E-2</v>
      </c>
      <c r="K2288" s="1" cm="1">
        <f t="array" ref="K2288">SUMPRODUCT(([2]OUT_FinalEnergyCons!$B$4:$B$10000="var_ncap")*1,  (ISNUMBER(SEARCH("ITOT-SWHPLT*BR",[2]OUT_FinalEnergyCons!$A$4:$A$10000)))*1,[2]OUT_FinalEnergyCons!I$4:I$10000)</f>
        <v>0.10324725547850799</v>
      </c>
      <c r="L2288" s="1" cm="1">
        <f t="array" ref="L2288">SUMPRODUCT(([2]OUT_FinalEnergyCons!$B$4:$B$10000="var_ncap")*1,  (ISNUMBER(SEARCH("ITOT-SWHPLT*BR",[2]OUT_FinalEnergyCons!$A$4:$A$10000)))*1,[2]OUT_FinalEnergyCons!J$4:J$10000)</f>
        <v>0.10600347457015701</v>
      </c>
      <c r="N2288" s="1"/>
    </row>
    <row r="2289" spans="2:14" x14ac:dyDescent="0.35">
      <c r="B2289" s="5" t="str">
        <f t="shared" si="2161"/>
        <v>SPS1</v>
      </c>
      <c r="C2289" s="5" t="str">
        <f t="shared" si="2162"/>
        <v>CH</v>
      </c>
      <c r="D2289" t="s">
        <v>2423</v>
      </c>
      <c r="E2289" t="str">
        <f t="shared" si="2163"/>
        <v>GWth/yr.</v>
      </c>
      <c r="F2289" s="1">
        <f t="shared" ref="F2289:L2289" si="2177">F2290</f>
        <v>0</v>
      </c>
      <c r="G2289" s="1">
        <f t="shared" si="2177"/>
        <v>1.10679194031524E-5</v>
      </c>
      <c r="H2289" s="1">
        <f t="shared" si="2177"/>
        <v>1.50749859055866E-5</v>
      </c>
      <c r="I2289" s="1">
        <f t="shared" si="2177"/>
        <v>1.63107360699864E-5</v>
      </c>
      <c r="J2289" s="1">
        <f t="shared" si="2177"/>
        <v>0.23656066425395</v>
      </c>
      <c r="K2289" s="1">
        <f t="shared" si="2177"/>
        <v>9.9470583072424304E-2</v>
      </c>
      <c r="L2289" s="1">
        <f t="shared" si="2177"/>
        <v>1.32271112288702E-2</v>
      </c>
      <c r="N2289" s="1"/>
    </row>
    <row r="2290" spans="2:14" x14ac:dyDescent="0.35">
      <c r="B2290" s="5" t="str">
        <f t="shared" si="2161"/>
        <v>SPS1</v>
      </c>
      <c r="C2290" s="5" t="str">
        <f t="shared" si="2162"/>
        <v>CH</v>
      </c>
      <c r="D2290" t="s">
        <v>2424</v>
      </c>
      <c r="E2290" t="str">
        <f t="shared" si="2163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1.10679194031524E-5</v>
      </c>
      <c r="H2290" s="1" cm="1">
        <f t="array" ref="H2290">SUMPRODUCT(([1]OUT_FinalEnergyCons!$B$4:$B$10000="var_ncap")*1,  (ISNUMBER(SEARCH("ITOT-SWHWST*BR",[1]OUT_FinalEnergyCons!$A$4:$A$10000)))*1,[1]OUT_FinalEnergyCons!F$4:F$10000)</f>
        <v>1.50749859055866E-5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1.63107360699864E-5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0.23656066425395</v>
      </c>
      <c r="K2290" s="1" cm="1">
        <f t="array" ref="K2290">SUMPRODUCT(([2]OUT_FinalEnergyCons!$B$4:$B$10000="var_ncap")*1,  (ISNUMBER(SEARCH("ITOT-SWHWST*BR",[2]OUT_FinalEnergyCons!$A$4:$A$10000)))*1,[2]OUT_FinalEnergyCons!I$4:I$10000)</f>
        <v>9.9470583072424304E-2</v>
      </c>
      <c r="L2290" s="1" cm="1">
        <f t="array" ref="L2290">SUMPRODUCT(([2]OUT_FinalEnergyCons!$B$4:$B$10000="var_ncap")*1,  (ISNUMBER(SEARCH("ITOT-SWHWST*BR",[2]OUT_FinalEnergyCons!$A$4:$A$10000)))*1,[2]OUT_FinalEnergyCons!J$4:J$10000)</f>
        <v>1.32271112288702E-2</v>
      </c>
      <c r="N2290" s="1"/>
    </row>
    <row r="2291" spans="2:14" x14ac:dyDescent="0.35">
      <c r="B2291" s="5" t="str">
        <f t="shared" si="2161"/>
        <v>SPS1</v>
      </c>
      <c r="C2291" s="5" t="str">
        <f t="shared" si="2162"/>
        <v>CH</v>
      </c>
      <c r="D2291" t="s">
        <v>2425</v>
      </c>
      <c r="E2291" t="str">
        <f t="shared" si="2163"/>
        <v>GWth/yr.</v>
      </c>
      <c r="F2291" s="1">
        <f t="shared" ref="F2291:L2291" si="2178">F2292</f>
        <v>0</v>
      </c>
      <c r="G2291" s="1">
        <f t="shared" si="2178"/>
        <v>2.7693817312897202E-3</v>
      </c>
      <c r="H2291" s="1">
        <f t="shared" si="2178"/>
        <v>1.1872187067281E-7</v>
      </c>
      <c r="I2291" s="1">
        <f t="shared" si="2178"/>
        <v>1.04946007612354E-7</v>
      </c>
      <c r="J2291" s="1">
        <f t="shared" si="2178"/>
        <v>8.5806305688104698E-3</v>
      </c>
      <c r="K2291" s="1">
        <f t="shared" si="2178"/>
        <v>3.9204346461126699E-3</v>
      </c>
      <c r="L2291" s="1">
        <f t="shared" si="2178"/>
        <v>6.0254531501710796E-3</v>
      </c>
      <c r="N2291" s="1"/>
    </row>
    <row r="2292" spans="2:14" x14ac:dyDescent="0.35">
      <c r="B2292" s="5" t="str">
        <f t="shared" si="2161"/>
        <v>SPS1</v>
      </c>
      <c r="C2292" s="5" t="str">
        <f t="shared" si="2162"/>
        <v>CH</v>
      </c>
      <c r="D2292" t="s">
        <v>2426</v>
      </c>
      <c r="E2292" t="str">
        <f t="shared" si="2163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2.7693817312897202E-3</v>
      </c>
      <c r="H2292" s="1" cm="1">
        <f t="array" ref="H2292">SUMPRODUCT(([1]OUT_FinalEnergyCons!$B$4:$B$10000="var_ncap")*1, (ISNUMBER(SEARCH("ITOT-SWHSOLBR",[1]OUT_FinalEnergyCons!$A$4:$A$10000)))*1,[1]OUT_FinalEnergyCons!F$4:F$10000)</f>
        <v>1.1872187067281E-7</v>
      </c>
      <c r="I2292" s="1" cm="1">
        <f t="array" ref="I2292">SUMPRODUCT(([1]OUT_FinalEnergyCons!$B$4:$B$10000="var_ncap")*1, (ISNUMBER(SEARCH("ITOT-SWHSOLBR",[1]OUT_FinalEnergyCons!$A$4:$A$10000)))*1,[1]OUT_FinalEnergyCons!G$4:G$10000)</f>
        <v>1.04946007612354E-7</v>
      </c>
      <c r="J2292" s="1" cm="1">
        <f t="array" ref="J2292">SUMPRODUCT(([2]OUT_FinalEnergyCons!$B$4:$B$10000="var_ncap")*1, (ISNUMBER(SEARCH("ITOT-SWHSOLBR",[2]OUT_FinalEnergyCons!$A$4:$A$10000)))*1,[2]OUT_FinalEnergyCons!H$4:H$10000)</f>
        <v>8.5806305688104698E-3</v>
      </c>
      <c r="K2292" s="1" cm="1">
        <f t="array" ref="K2292">SUMPRODUCT(([2]OUT_FinalEnergyCons!$B$4:$B$10000="var_ncap")*1, (ISNUMBER(SEARCH("ITOT-SWHSOLBR",[2]OUT_FinalEnergyCons!$A$4:$A$10000)))*1,[2]OUT_FinalEnergyCons!I$4:I$10000)</f>
        <v>3.9204346461126699E-3</v>
      </c>
      <c r="L2292" s="1" cm="1">
        <f t="array" ref="L2292">SUMPRODUCT(([2]OUT_FinalEnergyCons!$B$4:$B$10000="var_ncap")*1, (ISNUMBER(SEARCH("ITOT-SWHSOLBR",[2]OUT_FinalEnergyCons!$A$4:$A$10000)))*1,[2]OUT_FinalEnergyCons!J$4:J$10000)</f>
        <v>6.0254531501710796E-3</v>
      </c>
      <c r="N2292" s="1"/>
    </row>
    <row r="2293" spans="2:14" x14ac:dyDescent="0.35">
      <c r="B2293" s="5" t="str">
        <f t="shared" si="2161"/>
        <v>SPS1</v>
      </c>
      <c r="C2293" s="5" t="str">
        <f t="shared" si="2162"/>
        <v>CH</v>
      </c>
      <c r="D2293" t="s">
        <v>2427</v>
      </c>
      <c r="E2293" t="str">
        <f t="shared" si="2163"/>
        <v>GWth/yr.</v>
      </c>
      <c r="F2293" s="1">
        <f t="shared" ref="F2293:L2293" si="2179">F2294</f>
        <v>0</v>
      </c>
      <c r="G2293" s="1">
        <f t="shared" si="2179"/>
        <v>0</v>
      </c>
      <c r="H2293" s="1">
        <f t="shared" si="2179"/>
        <v>0</v>
      </c>
      <c r="I2293" s="1">
        <f t="shared" si="2179"/>
        <v>1.5893065445628501E-3</v>
      </c>
      <c r="J2293" s="1">
        <f t="shared" si="2179"/>
        <v>0.44719481636344799</v>
      </c>
      <c r="K2293" s="1">
        <f t="shared" si="2179"/>
        <v>0.169602348453601</v>
      </c>
      <c r="L2293" s="1">
        <f t="shared" si="2179"/>
        <v>0.73041487289793905</v>
      </c>
      <c r="N2293" s="1"/>
    </row>
    <row r="2294" spans="2:14" x14ac:dyDescent="0.35">
      <c r="B2294" s="5" t="str">
        <f t="shared" si="2161"/>
        <v>SPS1</v>
      </c>
      <c r="C2294" s="5" t="str">
        <f t="shared" si="2162"/>
        <v>CH</v>
      </c>
      <c r="D2294" t="s">
        <v>2428</v>
      </c>
      <c r="E2294" t="str">
        <f t="shared" si="2163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1.5893065445628501E-3</v>
      </c>
      <c r="J2294" s="1" cm="1">
        <f t="array" ref="J2294">SUMPRODUCT(([2]OUT_FinalEnergyCons!$B$4:$B$10000="var_ncap")*1, (ISNUMBER(SEARCH("ITOT-SWHH2BR",[2]OUT_FinalEnergyCons!$A$4:$A$10000)))*1,[2]OUT_FinalEnergyCons!H$4:H$10000)</f>
        <v>0.44719481636344799</v>
      </c>
      <c r="K2294" s="1" cm="1">
        <f t="array" ref="K2294">SUMPRODUCT(([2]OUT_FinalEnergyCons!$B$4:$B$10000="var_ncap")*1, (ISNUMBER(SEARCH("ITOT-SWHH2BR",[2]OUT_FinalEnergyCons!$A$4:$A$10000)))*1,[2]OUT_FinalEnergyCons!I$4:I$10000)</f>
        <v>0.169602348453601</v>
      </c>
      <c r="L2294" s="1" cm="1">
        <f t="array" ref="L2294">SUMPRODUCT(([2]OUT_FinalEnergyCons!$B$4:$B$10000="var_ncap")*1, (ISNUMBER(SEARCH("ITOT-SWHH2BR",[2]OUT_FinalEnergyCons!$A$4:$A$10000)))*1,[2]OUT_FinalEnergyCons!J$4:J$10000)</f>
        <v>0.73041487289793905</v>
      </c>
      <c r="N2294" s="1"/>
    </row>
    <row r="2295" spans="2:14" x14ac:dyDescent="0.35">
      <c r="B2295" s="9" t="str">
        <f>SPS1_NUC_High!B1813</f>
        <v>SPS1</v>
      </c>
      <c r="C2295" s="9" t="str">
        <f>SPS1_NUC_High!C1813</f>
        <v>CH</v>
      </c>
      <c r="D2295" s="2" t="s">
        <v>2429</v>
      </c>
      <c r="E2295" s="9" t="str">
        <f t="shared" si="2163"/>
        <v>GWth/yr.</v>
      </c>
      <c r="F2295" s="17">
        <f t="shared" ref="F2295:K2295" si="2180">SUM(F2296,F2299,F2301,F2305,F2307,F2309,F2311)</f>
        <v>4.3768966218653621E-5</v>
      </c>
      <c r="G2295" s="17">
        <f t="shared" si="2180"/>
        <v>6.6826352663683364E-2</v>
      </c>
      <c r="H2295" s="17">
        <f t="shared" si="2180"/>
        <v>0.20274667703661078</v>
      </c>
      <c r="I2295" s="17">
        <f t="shared" si="2180"/>
        <v>0.77422530088190589</v>
      </c>
      <c r="J2295" s="17">
        <f t="shared" si="2180"/>
        <v>2.6551307749810298</v>
      </c>
      <c r="K2295" s="17">
        <f t="shared" si="2180"/>
        <v>1.8310474680107305</v>
      </c>
      <c r="L2295" s="17">
        <f t="shared" ref="L2295" si="2181">SUM(L2296,L2299,L2301,L2305,L2307,L2309,L2311)</f>
        <v>2.3013374080670577</v>
      </c>
      <c r="N2295" s="1"/>
    </row>
    <row r="2296" spans="2:14" x14ac:dyDescent="0.35">
      <c r="B2296" s="5" t="str">
        <f t="shared" ref="B2296:B2312" si="2182">B2295</f>
        <v>SPS1</v>
      </c>
      <c r="C2296" s="5" t="str">
        <f t="shared" ref="C2296:C2312" si="2183">C2295</f>
        <v>CH</v>
      </c>
      <c r="D2296" t="s">
        <v>2430</v>
      </c>
      <c r="E2296" t="str">
        <f t="shared" si="2163"/>
        <v>GWth/yr.</v>
      </c>
      <c r="F2296" s="1">
        <f t="shared" ref="F2296:K2296" si="2184">SUM(F2297:F2298)</f>
        <v>2.1335482255338987E-6</v>
      </c>
      <c r="G2296" s="1">
        <f t="shared" si="2184"/>
        <v>2.2516944776380341E-6</v>
      </c>
      <c r="H2296" s="1">
        <f t="shared" si="2184"/>
        <v>2.6905962539417299E-6</v>
      </c>
      <c r="I2296" s="1">
        <f t="shared" si="2184"/>
        <v>0.66895592803610515</v>
      </c>
      <c r="J2296" s="1">
        <f t="shared" si="2184"/>
        <v>0.72109542374097557</v>
      </c>
      <c r="K2296" s="1">
        <f t="shared" si="2184"/>
        <v>0.8007216326283273</v>
      </c>
      <c r="L2296" s="1">
        <f t="shared" ref="L2296" si="2185">SUM(L2297:L2298)</f>
        <v>1.2529739058794471</v>
      </c>
      <c r="N2296" s="1"/>
    </row>
    <row r="2297" spans="2:14" x14ac:dyDescent="0.35">
      <c r="B2297" s="5" t="str">
        <f t="shared" si="2182"/>
        <v>SPS1</v>
      </c>
      <c r="C2297" s="5" t="str">
        <f t="shared" si="2183"/>
        <v>CH</v>
      </c>
      <c r="D2297" t="s">
        <v>2431</v>
      </c>
      <c r="E2297" t="str">
        <f t="shared" si="2163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1.9675363496845299E-6</v>
      </c>
      <c r="G2297" s="1" cm="1">
        <f t="array" ref="G2297">SUMPRODUCT(([1]OUT_FinalEnergyCons!$B$4:$B$10000="var_ncap")*1, (ISNUMBER(SEARCH("SCOM-SHELCBR",[1]OUT_FinalEnergyCons!$A$4:$A$10000)))*1,[1]OUT_FinalEnergyCons!E$4:E$10000)</f>
        <v>1.9096496512151401E-6</v>
      </c>
      <c r="H2297" s="1" cm="1">
        <f t="array" ref="H2297">SUMPRODUCT(([1]OUT_FinalEnergyCons!$B$4:$B$10000="var_ncap")*1, (ISNUMBER(SEARCH("SCOM-SHELCBR",[1]OUT_FinalEnergyCons!$A$4:$A$10000)))*1,[1]OUT_FinalEnergyCons!F$4:F$10000)</f>
        <v>1.55323804249903E-6</v>
      </c>
      <c r="I2297" s="1" cm="1">
        <f t="array" ref="I2297">SUMPRODUCT(([1]OUT_FinalEnergyCons!$B$4:$B$10000="var_ncap")*1, (ISNUMBER(SEARCH("SCOM-SHELCBR",[1]OUT_FinalEnergyCons!$A$4:$A$10000)))*1,[1]OUT_FinalEnergyCons!G$4:G$10000)</f>
        <v>2.19761184215267E-6</v>
      </c>
      <c r="J2297" s="1" cm="1">
        <f t="array" ref="J2297">SUMPRODUCT(([2]OUT_FinalEnergyCons!$B$4:$B$10000="var_ncap")*1, (ISNUMBER(SEARCH("SCOM-SHELCBR",[2]OUT_FinalEnergyCons!$A$4:$A$10000)))*1,[2]OUT_FinalEnergyCons!H$4:H$10000)</f>
        <v>1.04760116488486E-2</v>
      </c>
      <c r="K2297" s="1" cm="1">
        <f t="array" ref="K2297">SUMPRODUCT(([2]OUT_FinalEnergyCons!$B$4:$B$10000="var_ncap")*1, (ISNUMBER(SEARCH("SCOM-SHELCBR",[2]OUT_FinalEnergyCons!$A$4:$A$10000)))*1,[2]OUT_FinalEnergyCons!I$4:I$10000)</f>
        <v>1.3241103518109301E-2</v>
      </c>
      <c r="L2297" s="1" cm="1">
        <f t="array" ref="L2297">SUMPRODUCT(([2]OUT_FinalEnergyCons!$B$4:$B$10000="var_ncap")*1, (ISNUMBER(SEARCH("SCOM-SHELCBR",[2]OUT_FinalEnergyCons!$A$4:$A$10000)))*1,[2]OUT_FinalEnergyCons!J$4:J$10000)</f>
        <v>1.26944185535721E-3</v>
      </c>
      <c r="N2297" s="1"/>
    </row>
    <row r="2298" spans="2:14" x14ac:dyDescent="0.35">
      <c r="B2298" s="5" t="str">
        <f t="shared" si="2182"/>
        <v>SPS1</v>
      </c>
      <c r="C2298" s="5" t="str">
        <f t="shared" si="2183"/>
        <v>CH</v>
      </c>
      <c r="D2298" t="s">
        <v>2432</v>
      </c>
      <c r="E2298" t="str">
        <f t="shared" si="2163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1.66011875849369E-7</v>
      </c>
      <c r="G2298" s="1" cm="1">
        <f t="array" ref="G2298">SUMPRODUCT(([1]OUT_FinalEnergyCons!$B$4:$B$10000="var_ncap")*1, (ISNUMBER(SEARCH("SCOM-SHELCHP",[1]OUT_FinalEnergyCons!$A$4:$A$10000)))*1,[1]OUT_FinalEnergyCons!E$4:E$10000)</f>
        <v>3.42044826422894E-7</v>
      </c>
      <c r="H2298" s="1" cm="1">
        <f t="array" ref="H2298">SUMPRODUCT(([1]OUT_FinalEnergyCons!$B$4:$B$10000="var_ncap")*1, (ISNUMBER(SEARCH("SCOM-SHELCHP",[1]OUT_FinalEnergyCons!$A$4:$A$10000)))*1,[1]OUT_FinalEnergyCons!F$4:F$10000)</f>
        <v>1.1373582114426999E-6</v>
      </c>
      <c r="I2298" s="1" cm="1">
        <f t="array" ref="I2298">SUMPRODUCT(([1]OUT_FinalEnergyCons!$B$4:$B$10000="var_ncap")*1, (ISNUMBER(SEARCH("SCOM-SHELCHP",[1]OUT_FinalEnergyCons!$A$4:$A$10000)))*1,[1]OUT_FinalEnergyCons!G$4:G$10000)</f>
        <v>0.66895373042426298</v>
      </c>
      <c r="J2298" s="1" cm="1">
        <f t="array" ref="J2298">SUMPRODUCT(([2]OUT_FinalEnergyCons!$B$4:$B$10000="var_ncap")*1, (ISNUMBER(SEARCH("SCOM-SHELCHP",[2]OUT_FinalEnergyCons!$A$4:$A$10000)))*1,[2]OUT_FinalEnergyCons!H$4:H$10000)</f>
        <v>0.71061941209212698</v>
      </c>
      <c r="K2298" s="1" cm="1">
        <f t="array" ref="K2298">SUMPRODUCT(([2]OUT_FinalEnergyCons!$B$4:$B$10000="var_ncap")*1, (ISNUMBER(SEARCH("SCOM-SHELCHP",[2]OUT_FinalEnergyCons!$A$4:$A$10000)))*1,[2]OUT_FinalEnergyCons!I$4:I$10000)</f>
        <v>0.78748052911021804</v>
      </c>
      <c r="L2298" s="1" cm="1">
        <f t="array" ref="L2298">SUMPRODUCT(([2]OUT_FinalEnergyCons!$B$4:$B$10000="var_ncap")*1, (ISNUMBER(SEARCH("SCOM-SHELCHP",[2]OUT_FinalEnergyCons!$A$4:$A$10000)))*1,[2]OUT_FinalEnergyCons!J$4:J$10000)</f>
        <v>1.25170446402409</v>
      </c>
      <c r="N2298" s="1"/>
    </row>
    <row r="2299" spans="2:14" x14ac:dyDescent="0.35">
      <c r="B2299" s="5" t="str">
        <f t="shared" si="2182"/>
        <v>SPS1</v>
      </c>
      <c r="C2299" s="5" t="str">
        <f t="shared" si="2183"/>
        <v>CH</v>
      </c>
      <c r="D2299" t="s">
        <v>2433</v>
      </c>
      <c r="E2299" t="str">
        <f t="shared" si="2163"/>
        <v>GWth/yr.</v>
      </c>
      <c r="F2299" s="1">
        <f t="shared" ref="F2299:L2299" si="2186">F2300</f>
        <v>1.11968220439749E-6</v>
      </c>
      <c r="G2299" s="1">
        <f t="shared" si="2186"/>
        <v>1.1719577596396599E-6</v>
      </c>
      <c r="H2299" s="1">
        <f t="shared" si="2186"/>
        <v>6.13469337980842E-7</v>
      </c>
      <c r="I2299" s="1">
        <f t="shared" si="2186"/>
        <v>1.08868371249414E-6</v>
      </c>
      <c r="J2299" s="1">
        <f t="shared" si="2186"/>
        <v>0.229700181598811</v>
      </c>
      <c r="K2299" s="1">
        <f t="shared" si="2186"/>
        <v>3.9175808252041999E-6</v>
      </c>
      <c r="L2299" s="1">
        <f t="shared" si="2186"/>
        <v>1.8001614630979501E-7</v>
      </c>
      <c r="N2299" s="1"/>
    </row>
    <row r="2300" spans="2:14" x14ac:dyDescent="0.35">
      <c r="B2300" s="5" t="str">
        <f t="shared" si="2182"/>
        <v>SPS1</v>
      </c>
      <c r="C2300" s="5" t="str">
        <f t="shared" si="2183"/>
        <v>CH</v>
      </c>
      <c r="D2300" t="s">
        <v>2434</v>
      </c>
      <c r="E2300" t="str">
        <f t="shared" ref="E2300:E2312" si="2187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1.11968220439749E-6</v>
      </c>
      <c r="G2300" s="1" cm="1">
        <f t="array" ref="G2300">SUMPRODUCT(([1]OUT_FinalEnergyCons!$B$4:$B$10000="var_ncap")*1,(ISNUMBER(SEARCH("SCOM-SHLFOBR",[1]OUT_FinalEnergyCons!$A$4:$A$10000)))*1,[1]OUT_FinalEnergyCons!E$4:E$10000)</f>
        <v>1.1719577596396599E-6</v>
      </c>
      <c r="H2300" s="1" cm="1">
        <f t="array" ref="H2300">SUMPRODUCT(([1]OUT_FinalEnergyCons!$B$4:$B$10000="var_ncap")*1,(ISNUMBER(SEARCH("SCOM-SHLFOBR",[1]OUT_FinalEnergyCons!$A$4:$A$10000)))*1,[1]OUT_FinalEnergyCons!F$4:F$10000)</f>
        <v>6.13469337980842E-7</v>
      </c>
      <c r="I2300" s="1" cm="1">
        <f t="array" ref="I2300">SUMPRODUCT(([1]OUT_FinalEnergyCons!$B$4:$B$10000="var_ncap")*1,(ISNUMBER(SEARCH("SCOM-SHLFOBR",[1]OUT_FinalEnergyCons!$A$4:$A$10000)))*1,[1]OUT_FinalEnergyCons!G$4:G$10000)</f>
        <v>1.08868371249414E-6</v>
      </c>
      <c r="J2300" s="1" cm="1">
        <f t="array" ref="J2300">SUMPRODUCT(([2]OUT_FinalEnergyCons!$B$4:$B$10000="var_ncap")*1,(ISNUMBER(SEARCH("SCOM-SHLFOBR",[2]OUT_FinalEnergyCons!$A$4:$A$10000)))*1,[2]OUT_FinalEnergyCons!H$4:H$10000)</f>
        <v>0.229700181598811</v>
      </c>
      <c r="K2300" s="1" cm="1">
        <f t="array" ref="K2300">SUMPRODUCT(([2]OUT_FinalEnergyCons!$B$4:$B$10000="var_ncap")*1,(ISNUMBER(SEARCH("SCOM-SHLFOBR",[2]OUT_FinalEnergyCons!$A$4:$A$10000)))*1,[2]OUT_FinalEnergyCons!I$4:I$10000)</f>
        <v>3.9175808252041999E-6</v>
      </c>
      <c r="L2300" s="1" cm="1">
        <f t="array" ref="L2300">SUMPRODUCT(([2]OUT_FinalEnergyCons!$B$4:$B$10000="var_ncap")*1,(ISNUMBER(SEARCH("SCOM-SHLFOBR",[2]OUT_FinalEnergyCons!$A$4:$A$10000)))*1,[2]OUT_FinalEnergyCons!J$4:J$10000)</f>
        <v>1.8001614630979501E-7</v>
      </c>
      <c r="N2300" s="1"/>
    </row>
    <row r="2301" spans="2:14" x14ac:dyDescent="0.35">
      <c r="B2301" s="5" t="str">
        <f t="shared" si="2182"/>
        <v>SPS1</v>
      </c>
      <c r="C2301" s="5" t="str">
        <f t="shared" si="2183"/>
        <v>CH</v>
      </c>
      <c r="D2301" t="s">
        <v>2435</v>
      </c>
      <c r="E2301" t="str">
        <f t="shared" si="2187"/>
        <v>GWth/yr.</v>
      </c>
      <c r="F2301" s="1">
        <f t="shared" ref="F2301:K2301" si="2188">SUM(F2302:F2304)</f>
        <v>1.5546514896302179E-6</v>
      </c>
      <c r="G2301" s="1">
        <f t="shared" si="2188"/>
        <v>5.9632490407419129E-5</v>
      </c>
      <c r="H2301" s="1">
        <f t="shared" si="2188"/>
        <v>0.13749248250839685</v>
      </c>
      <c r="I2301" s="1">
        <f t="shared" si="2188"/>
        <v>9.3091160862638078E-2</v>
      </c>
      <c r="J2301" s="1">
        <f t="shared" si="2188"/>
        <v>0.39945886394839342</v>
      </c>
      <c r="K2301" s="1">
        <f t="shared" si="2188"/>
        <v>0.21960622293740445</v>
      </c>
      <c r="L2301" s="1">
        <f t="shared" ref="L2301" si="2189">SUM(L2302:L2304)</f>
        <v>0.18674710880060497</v>
      </c>
      <c r="N2301" s="1"/>
    </row>
    <row r="2302" spans="2:14" x14ac:dyDescent="0.35">
      <c r="B2302" s="5" t="str">
        <f t="shared" si="2182"/>
        <v>SPS1</v>
      </c>
      <c r="C2302" s="5" t="str">
        <f t="shared" si="2183"/>
        <v>CH</v>
      </c>
      <c r="D2302" t="s">
        <v>2436</v>
      </c>
      <c r="E2302" t="str">
        <f t="shared" si="2187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2.16519390935116E-7</v>
      </c>
      <c r="G2302" s="1" cm="1">
        <f t="array" ref="G2302">SUMPRODUCT(([1]OUT_FinalEnergyCons!$B$4:$B$10000="var_ncap")*1, (ISNUMBER(SEARCH("SCOM-SHNGABR",[1]OUT_FinalEnergyCons!$A$4:$A$10000)))*1,[1]OUT_FinalEnergyCons!E$4:E$10000)</f>
        <v>1.0638036806457001E-6</v>
      </c>
      <c r="H2302" s="1" cm="1">
        <f t="array" ref="H2302">SUMPRODUCT(([1]OUT_FinalEnergyCons!$B$4:$B$10000="var_ncap")*1, (ISNUMBER(SEARCH("SCOM-SHNGABR",[1]OUT_FinalEnergyCons!$A$4:$A$10000)))*1,[1]OUT_FinalEnergyCons!F$4:F$10000)</f>
        <v>9.0085819817693905E-7</v>
      </c>
      <c r="I2302" s="1" cm="1">
        <f t="array" ref="I2302">SUMPRODUCT(([1]OUT_FinalEnergyCons!$B$4:$B$10000="var_ncap")*1, (ISNUMBER(SEARCH("SCOM-SHNGABR",[1]OUT_FinalEnergyCons!$A$4:$A$10000)))*1,[1]OUT_FinalEnergyCons!G$4:G$10000)</f>
        <v>1.52484467347284E-6</v>
      </c>
      <c r="J2302" s="1" cm="1">
        <f t="array" ref="J2302">SUMPRODUCT(([2]OUT_FinalEnergyCons!$B$4:$B$10000="var_ncap")*1, (ISNUMBER(SEARCH("SCOM-SHNGABR",[2]OUT_FinalEnergyCons!$A$4:$A$10000)))*1,[2]OUT_FinalEnergyCons!H$4:H$10000)</f>
        <v>0.33146617993540001</v>
      </c>
      <c r="K2302" s="1" cm="1">
        <f t="array" ref="K2302">SUMPRODUCT(([2]OUT_FinalEnergyCons!$B$4:$B$10000="var_ncap")*1, (ISNUMBER(SEARCH("SCOM-SHNGABR",[2]OUT_FinalEnergyCons!$A$4:$A$10000)))*1,[2]OUT_FinalEnergyCons!I$4:I$10000)</f>
        <v>3.3230616299216202E-6</v>
      </c>
      <c r="L2302" s="1" cm="1">
        <f t="array" ref="L2302">SUMPRODUCT(([2]OUT_FinalEnergyCons!$B$4:$B$10000="var_ncap")*1, (ISNUMBER(SEARCH("SCOM-SHNGABR",[2]OUT_FinalEnergyCons!$A$4:$A$10000)))*1,[2]OUT_FinalEnergyCons!J$4:J$10000)</f>
        <v>4.6206517047710598E-7</v>
      </c>
      <c r="N2302" s="1"/>
    </row>
    <row r="2303" spans="2:14" x14ac:dyDescent="0.35">
      <c r="B2303" s="5" t="str">
        <f t="shared" si="2182"/>
        <v>SPS1</v>
      </c>
      <c r="C2303" s="5" t="str">
        <f t="shared" si="2183"/>
        <v>CH</v>
      </c>
      <c r="D2303" t="s">
        <v>2437</v>
      </c>
      <c r="E2303" t="str">
        <f t="shared" si="2187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5.8768057755896695E-7</v>
      </c>
      <c r="G2303" s="1" cm="1">
        <f t="array" ref="G2303">SUMPRODUCT(([1]OUT_FinalEnergyCons!$B$4:$B$10000="var_ncap")*1, (ISNUMBER(SEARCH("SCOM-SHngahp",[1]OUT_FinalEnergyCons!$A$4:$A$10000)))*1,[1]OUT_FinalEnergyCons!E$4:E$10000)</f>
        <v>5.4076573532009498E-5</v>
      </c>
      <c r="H2303" s="1" cm="1">
        <f t="array" ref="H2303">SUMPRODUCT(([1]OUT_FinalEnergyCons!$B$4:$B$10000="var_ncap")*1, (ISNUMBER(SEARCH("SCOM-SHngahp",[1]OUT_FinalEnergyCons!$A$4:$A$10000)))*1,[1]OUT_FinalEnergyCons!F$4:F$10000)</f>
        <v>0.137490356679208</v>
      </c>
      <c r="I2303" s="1" cm="1">
        <f t="array" ref="I2303">SUMPRODUCT(([1]OUT_FinalEnergyCons!$B$4:$B$10000="var_ncap")*1, (ISNUMBER(SEARCH("SCOM-SHngahp",[1]OUT_FinalEnergyCons!$A$4:$A$10000)))*1,[1]OUT_FinalEnergyCons!G$4:G$10000)</f>
        <v>9.3088532597036602E-2</v>
      </c>
      <c r="J2303" s="1" cm="1">
        <f t="array" ref="J2303">SUMPRODUCT(([2]OUT_FinalEnergyCons!$B$4:$B$10000="var_ncap")*1, (ISNUMBER(SEARCH("SCOM-SHngahp",[2]OUT_FinalEnergyCons!$A$4:$A$10000)))*1,[2]OUT_FinalEnergyCons!H$4:H$10000)</f>
        <v>6.7964583080059801E-2</v>
      </c>
      <c r="K2303" s="1" cm="1">
        <f t="array" ref="K2303">SUMPRODUCT(([2]OUT_FinalEnergyCons!$B$4:$B$10000="var_ncap")*1, (ISNUMBER(SEARCH("SCOM-SHngahp",[2]OUT_FinalEnergyCons!$A$4:$A$10000)))*1,[2]OUT_FinalEnergyCons!I$4:I$10000)</f>
        <v>0.21957655138906901</v>
      </c>
      <c r="L2303" s="1" cm="1">
        <f t="array" ref="L2303">SUMPRODUCT(([2]OUT_FinalEnergyCons!$B$4:$B$10000="var_ncap")*1, (ISNUMBER(SEARCH("SCOM-SHngahp",[2]OUT_FinalEnergyCons!$A$4:$A$10000)))*1,[2]OUT_FinalEnergyCons!J$4:J$10000)</f>
        <v>0.186733342218212</v>
      </c>
      <c r="N2303" s="1"/>
    </row>
    <row r="2304" spans="2:14" x14ac:dyDescent="0.35">
      <c r="B2304" s="5" t="str">
        <f t="shared" si="2182"/>
        <v>SPS1</v>
      </c>
      <c r="C2304" s="5" t="str">
        <f t="shared" si="2183"/>
        <v>CH</v>
      </c>
      <c r="D2304" t="s">
        <v>2438</v>
      </c>
      <c r="E2304" t="str">
        <f t="shared" si="2187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7.5045152113613499E-7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4.4921131947639296E-6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1.2249709906782499E-6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1.10342092800121E-6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2.8100932933582199E-5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2.6348486705519101E-5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1.33045172224796E-5</v>
      </c>
      <c r="N2304" s="1"/>
    </row>
    <row r="2305" spans="2:14" x14ac:dyDescent="0.35">
      <c r="B2305" s="5" t="str">
        <f t="shared" si="2182"/>
        <v>SPS1</v>
      </c>
      <c r="C2305" s="5" t="str">
        <f t="shared" si="2183"/>
        <v>CH</v>
      </c>
      <c r="D2305" t="s">
        <v>2439</v>
      </c>
      <c r="E2305" t="str">
        <f t="shared" si="2187"/>
        <v>GWth/yr.</v>
      </c>
      <c r="F2305" s="1">
        <f t="shared" ref="F2305:L2305" si="2190">F2306</f>
        <v>1.39152249149453E-5</v>
      </c>
      <c r="G2305" s="1">
        <f t="shared" si="2190"/>
        <v>3.3708520827952899E-2</v>
      </c>
      <c r="H2305" s="1">
        <f t="shared" si="2190"/>
        <v>6.52490673167819E-2</v>
      </c>
      <c r="I2305" s="1">
        <f t="shared" si="2190"/>
        <v>1.7734711582830399E-6</v>
      </c>
      <c r="J2305" s="1">
        <f t="shared" si="2190"/>
        <v>0.30583650682251201</v>
      </c>
      <c r="K2305" s="1">
        <f t="shared" si="2190"/>
        <v>0.120587022415512</v>
      </c>
      <c r="L2305" s="1">
        <f t="shared" si="2190"/>
        <v>0.10062472242234401</v>
      </c>
      <c r="N2305" s="1"/>
    </row>
    <row r="2306" spans="2:14" x14ac:dyDescent="0.35">
      <c r="B2306" s="5" t="str">
        <f t="shared" si="2182"/>
        <v>SPS1</v>
      </c>
      <c r="C2306" s="5" t="str">
        <f t="shared" si="2183"/>
        <v>CH</v>
      </c>
      <c r="D2306" t="s">
        <v>2440</v>
      </c>
      <c r="E2306" t="str">
        <f t="shared" si="2187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1.39152249149453E-5</v>
      </c>
      <c r="G2306" s="1" cm="1">
        <f t="array" ref="G2306">SUMPRODUCT(([1]OUT_FinalEnergyCons!$B$4:$B$10000="var_ncap")*1, (ISNUMBER(SEARCH("SCOM-SHWODBR",[1]OUT_FinalEnergyCons!$A$4:$A$10000)))*1,[1]OUT_FinalEnergyCons!E$4:E$10000)</f>
        <v>3.3708520827952899E-2</v>
      </c>
      <c r="H2306" s="1" cm="1">
        <f t="array" ref="H2306">SUMPRODUCT(([1]OUT_FinalEnergyCons!$B$4:$B$10000="var_ncap")*1, (ISNUMBER(SEARCH("SCOM-SHWODBR",[1]OUT_FinalEnergyCons!$A$4:$A$10000)))*1,[1]OUT_FinalEnergyCons!F$4:F$10000)</f>
        <v>6.52490673167819E-2</v>
      </c>
      <c r="I2306" s="1" cm="1">
        <f t="array" ref="I2306">SUMPRODUCT(([1]OUT_FinalEnergyCons!$B$4:$B$10000="var_ncap")*1, (ISNUMBER(SEARCH("SCOM-SHWODBR",[1]OUT_FinalEnergyCons!$A$4:$A$10000)))*1,[1]OUT_FinalEnergyCons!G$4:G$10000)</f>
        <v>1.7734711582830399E-6</v>
      </c>
      <c r="J2306" s="1" cm="1">
        <f t="array" ref="J2306">SUMPRODUCT(([2]OUT_FinalEnergyCons!$B$4:$B$10000="var_ncap")*1, (ISNUMBER(SEARCH("SCOM-SHWODBR",[2]OUT_FinalEnergyCons!$A$4:$A$10000)))*1,[2]OUT_FinalEnergyCons!H$4:H$10000)</f>
        <v>0.30583650682251201</v>
      </c>
      <c r="K2306" s="1" cm="1">
        <f t="array" ref="K2306">SUMPRODUCT(([2]OUT_FinalEnergyCons!$B$4:$B$10000="var_ncap")*1, (ISNUMBER(SEARCH("SCOM-SHWODBR",[2]OUT_FinalEnergyCons!$A$4:$A$10000)))*1,[2]OUT_FinalEnergyCons!I$4:I$10000)</f>
        <v>0.120587022415512</v>
      </c>
      <c r="L2306" s="1" cm="1">
        <f t="array" ref="L2306">SUMPRODUCT(([2]OUT_FinalEnergyCons!$B$4:$B$10000="var_ncap")*1, (ISNUMBER(SEARCH("SCOM-SHWODBR",[2]OUT_FinalEnergyCons!$A$4:$A$10000)))*1,[2]OUT_FinalEnergyCons!J$4:J$10000)</f>
        <v>0.10062472242234401</v>
      </c>
      <c r="N2306" s="1"/>
    </row>
    <row r="2307" spans="2:14" x14ac:dyDescent="0.35">
      <c r="B2307" s="5" t="str">
        <f t="shared" si="2182"/>
        <v>SPS1</v>
      </c>
      <c r="C2307" s="5" t="str">
        <f t="shared" si="2183"/>
        <v>CH</v>
      </c>
      <c r="D2307" t="s">
        <v>2441</v>
      </c>
      <c r="E2307" t="str">
        <f t="shared" si="2187"/>
        <v>GWth/yr.</v>
      </c>
      <c r="F2307" s="1">
        <f t="shared" ref="F2307:L2307" si="2191">F2308</f>
        <v>1.3427475699275099E-6</v>
      </c>
      <c r="G2307" s="1">
        <f t="shared" si="2191"/>
        <v>2.4292252916517602E-2</v>
      </c>
      <c r="H2307" s="1">
        <f t="shared" si="2191"/>
        <v>4.8130899862094596E-7</v>
      </c>
      <c r="I2307" s="1">
        <f t="shared" si="2191"/>
        <v>1.99203626087357E-6</v>
      </c>
      <c r="J2307" s="1">
        <f t="shared" si="2191"/>
        <v>3.8392472375297401E-2</v>
      </c>
      <c r="K2307" s="1">
        <f t="shared" si="2191"/>
        <v>3.8311182608665902E-2</v>
      </c>
      <c r="L2307" s="1">
        <f t="shared" si="2191"/>
        <v>2.09619282912266E-2</v>
      </c>
      <c r="N2307" s="1"/>
    </row>
    <row r="2308" spans="2:14" x14ac:dyDescent="0.35">
      <c r="B2308" s="5" t="str">
        <f t="shared" si="2182"/>
        <v>SPS1</v>
      </c>
      <c r="C2308" s="5" t="str">
        <f t="shared" si="2183"/>
        <v>CH</v>
      </c>
      <c r="D2308" t="s">
        <v>2442</v>
      </c>
      <c r="E2308" t="str">
        <f t="shared" si="2187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1.3427475699275099E-6</v>
      </c>
      <c r="G2308" s="1" cm="1">
        <f t="array" ref="G2308">SUMPRODUCT(([1]OUT_FinalEnergyCons!$B$4:$B$10000="var_ncap")*1,(ISNUMBER(SEARCH("SCOM-SHPLTBR",[1]OUT_FinalEnergyCons!$A$4:$A$10000)))*1,[1]OUT_FinalEnergyCons!E$4:E$10000)</f>
        <v>2.4292252916517602E-2</v>
      </c>
      <c r="H2308" s="1" cm="1">
        <f t="array" ref="H2308">SUMPRODUCT(([1]OUT_FinalEnergyCons!$B$4:$B$10000="var_ncap")*1,(ISNUMBER(SEARCH("SCOM-SHPLTBR",[1]OUT_FinalEnergyCons!$A$4:$A$10000)))*1,[1]OUT_FinalEnergyCons!F$4:F$10000)</f>
        <v>4.8130899862094596E-7</v>
      </c>
      <c r="I2308" s="1" cm="1">
        <f t="array" ref="I2308">SUMPRODUCT(([1]OUT_FinalEnergyCons!$B$4:$B$10000="var_ncap")*1,(ISNUMBER(SEARCH("SCOM-SHPLTBR",[1]OUT_FinalEnergyCons!$A$4:$A$10000)))*1,[1]OUT_FinalEnergyCons!G$4:G$10000)</f>
        <v>1.99203626087357E-6</v>
      </c>
      <c r="J2308" s="1" cm="1">
        <f t="array" ref="J2308">SUMPRODUCT(([2]OUT_FinalEnergyCons!$B$4:$B$10000="var_ncap")*1,(ISNUMBER(SEARCH("SCOM-SHPLTBR",[2]OUT_FinalEnergyCons!$A$4:$A$10000)))*1,[2]OUT_FinalEnergyCons!H$4:H$10000)</f>
        <v>3.8392472375297401E-2</v>
      </c>
      <c r="K2308" s="1" cm="1">
        <f t="array" ref="K2308">SUMPRODUCT(([2]OUT_FinalEnergyCons!$B$4:$B$10000="var_ncap")*1,(ISNUMBER(SEARCH("SCOM-SHPLTBR",[2]OUT_FinalEnergyCons!$A$4:$A$10000)))*1,[2]OUT_FinalEnergyCons!I$4:I$10000)</f>
        <v>3.8311182608665902E-2</v>
      </c>
      <c r="L2308" s="1" cm="1">
        <f t="array" ref="L2308">SUMPRODUCT(([2]OUT_FinalEnergyCons!$B$4:$B$10000="var_ncap")*1,(ISNUMBER(SEARCH("SCOM-SHPLTBR",[2]OUT_FinalEnergyCons!$A$4:$A$10000)))*1,[2]OUT_FinalEnergyCons!J$4:J$10000)</f>
        <v>2.09619282912266E-2</v>
      </c>
      <c r="N2308" s="1"/>
    </row>
    <row r="2309" spans="2:14" x14ac:dyDescent="0.35">
      <c r="B2309" s="5" t="str">
        <f t="shared" si="2182"/>
        <v>SPS1</v>
      </c>
      <c r="C2309" s="5" t="str">
        <f t="shared" si="2183"/>
        <v>CH</v>
      </c>
      <c r="D2309" t="s">
        <v>2443</v>
      </c>
      <c r="E2309" t="str">
        <f t="shared" si="2187"/>
        <v>GWth/yr.</v>
      </c>
      <c r="F2309" s="1">
        <f t="shared" ref="F2309:L2309" si="2192">F2310</f>
        <v>2.3703111814219199E-5</v>
      </c>
      <c r="G2309" s="1">
        <f t="shared" si="2192"/>
        <v>8.7625227765681692E-3</v>
      </c>
      <c r="H2309" s="1">
        <f t="shared" si="2192"/>
        <v>1.3418368414647999E-6</v>
      </c>
      <c r="I2309" s="1">
        <f t="shared" si="2192"/>
        <v>1.2172349926249E-2</v>
      </c>
      <c r="J2309" s="1">
        <f t="shared" si="2192"/>
        <v>8.9948515619953498E-2</v>
      </c>
      <c r="K2309" s="1">
        <f t="shared" si="2192"/>
        <v>6.3542819801724798E-2</v>
      </c>
      <c r="L2309" s="1">
        <f t="shared" si="2192"/>
        <v>0.102659488528763</v>
      </c>
      <c r="N2309" s="1"/>
    </row>
    <row r="2310" spans="2:14" x14ac:dyDescent="0.35">
      <c r="B2310" s="5" t="str">
        <f t="shared" si="2182"/>
        <v>SPS1</v>
      </c>
      <c r="C2310" s="5" t="str">
        <f t="shared" si="2183"/>
        <v>CH</v>
      </c>
      <c r="D2310" t="s">
        <v>2444</v>
      </c>
      <c r="E2310" t="str">
        <f t="shared" si="2187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2.3703111814219199E-5</v>
      </c>
      <c r="G2310" s="1" cm="1">
        <f t="array" ref="G2310">SUMPRODUCT(([1]OUT_FinalEnergyCons!$B$4:$B$10000="var_ncap")*1, (ISNUMBER(SEARCH("SCOM-SHSOLBR",[1]OUT_FinalEnergyCons!$A$4:$A$10000)))*1,[1]OUT_FinalEnergyCons!E$4:E$10000)</f>
        <v>8.7625227765681692E-3</v>
      </c>
      <c r="H2310" s="1" cm="1">
        <f t="array" ref="H2310">SUMPRODUCT(([1]OUT_FinalEnergyCons!$B$4:$B$10000="var_ncap")*1, (ISNUMBER(SEARCH("SCOM-SHSOLBR",[1]OUT_FinalEnergyCons!$A$4:$A$10000)))*1,[1]OUT_FinalEnergyCons!F$4:F$10000)</f>
        <v>1.3418368414647999E-6</v>
      </c>
      <c r="I2310" s="1" cm="1">
        <f t="array" ref="I2310">SUMPRODUCT(([1]OUT_FinalEnergyCons!$B$4:$B$10000="var_ncap")*1, (ISNUMBER(SEARCH("SCOM-SHSOLBR",[1]OUT_FinalEnergyCons!$A$4:$A$10000)))*1,[1]OUT_FinalEnergyCons!G$4:G$10000)</f>
        <v>1.2172349926249E-2</v>
      </c>
      <c r="J2310" s="1" cm="1">
        <f t="array" ref="J2310">SUMPRODUCT(([2]OUT_FinalEnergyCons!$B$4:$B$10000="var_ncap")*1, (ISNUMBER(SEARCH("SCOM-SHSOLBR",[2]OUT_FinalEnergyCons!$A$4:$A$10000)))*1,[2]OUT_FinalEnergyCons!H$4:H$10000)</f>
        <v>8.9948515619953498E-2</v>
      </c>
      <c r="K2310" s="1" cm="1">
        <f t="array" ref="K2310">SUMPRODUCT(([2]OUT_FinalEnergyCons!$B$4:$B$10000="var_ncap")*1, (ISNUMBER(SEARCH("SCOM-SHSOLBR",[2]OUT_FinalEnergyCons!$A$4:$A$10000)))*1,[2]OUT_FinalEnergyCons!I$4:I$10000)</f>
        <v>6.3542819801724798E-2</v>
      </c>
      <c r="L2310" s="1" cm="1">
        <f t="array" ref="L2310">SUMPRODUCT(([2]OUT_FinalEnergyCons!$B$4:$B$10000="var_ncap")*1, (ISNUMBER(SEARCH("SCOM-SHSOLBR",[2]OUT_FinalEnergyCons!$A$4:$A$10000)))*1,[2]OUT_FinalEnergyCons!J$4:J$10000)</f>
        <v>0.102659488528763</v>
      </c>
      <c r="N2310" s="1"/>
    </row>
    <row r="2311" spans="2:14" x14ac:dyDescent="0.35">
      <c r="B2311" s="5" t="str">
        <f t="shared" si="2182"/>
        <v>SPS1</v>
      </c>
      <c r="C2311" s="5" t="str">
        <f t="shared" si="2183"/>
        <v>CH</v>
      </c>
      <c r="D2311" t="s">
        <v>2445</v>
      </c>
      <c r="E2311" t="str">
        <f t="shared" si="2187"/>
        <v>GWth/yr.</v>
      </c>
      <c r="F2311" s="1">
        <f t="shared" ref="F2311:L2311" si="2193">F2312</f>
        <v>0</v>
      </c>
      <c r="G2311" s="1">
        <f t="shared" si="2193"/>
        <v>0</v>
      </c>
      <c r="H2311" s="1">
        <f t="shared" si="2193"/>
        <v>0</v>
      </c>
      <c r="I2311" s="1">
        <f t="shared" si="2193"/>
        <v>1.0078657820408E-6</v>
      </c>
      <c r="J2311" s="1">
        <f t="shared" si="2193"/>
        <v>0.87069881087508705</v>
      </c>
      <c r="K2311" s="1">
        <f t="shared" si="2193"/>
        <v>0.58827467003827105</v>
      </c>
      <c r="L2311" s="1">
        <f t="shared" si="2193"/>
        <v>0.63737007412852598</v>
      </c>
      <c r="N2311" s="1"/>
    </row>
    <row r="2312" spans="2:14" x14ac:dyDescent="0.35">
      <c r="B2312" s="5" t="str">
        <f t="shared" si="2182"/>
        <v>SPS1</v>
      </c>
      <c r="C2312" s="5" t="str">
        <f t="shared" si="2183"/>
        <v>CH</v>
      </c>
      <c r="D2312" t="s">
        <v>2446</v>
      </c>
      <c r="E2312" t="str">
        <f t="shared" si="2187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1.0078657820408E-6</v>
      </c>
      <c r="J2312" s="1" cm="1">
        <f t="array" ref="J2312">SUMPRODUCT(([2]OUT_FinalEnergyCons!$B$4:$B$10000="var_ncap")*1, (ISNUMBER(SEARCH("SCOM-SHH2BR",[2]OUT_FinalEnergyCons!$A$4:$A$10000)))*1,[2]OUT_FinalEnergyCons!H$4:H$10000)</f>
        <v>0.87069881087508705</v>
      </c>
      <c r="K2312" s="1" cm="1">
        <f t="array" ref="K2312">SUMPRODUCT(([2]OUT_FinalEnergyCons!$B$4:$B$10000="var_ncap")*1, (ISNUMBER(SEARCH("SCOM-SHH2BR",[2]OUT_FinalEnergyCons!$A$4:$A$10000)))*1,[2]OUT_FinalEnergyCons!I$4:I$10000)</f>
        <v>0.58827467003827105</v>
      </c>
      <c r="L2312" s="1" cm="1">
        <f t="array" ref="L2312">SUMPRODUCT(([2]OUT_FinalEnergyCons!$B$4:$B$10000="var_ncap")*1, (ISNUMBER(SEARCH("SCOM-SHH2BR",[2]OUT_FinalEnergyCons!$A$4:$A$10000)))*1,[2]OUT_FinalEnergyCons!J$4:J$10000)</f>
        <v>0.63737007412852598</v>
      </c>
      <c r="N2312" s="1"/>
    </row>
    <row r="2313" spans="2:14" x14ac:dyDescent="0.35">
      <c r="B2313" s="5" t="str">
        <f>SPS1_NUC_High!B2021</f>
        <v>SPS1</v>
      </c>
      <c r="C2313" s="5" t="str">
        <f>SPS1_NUC_High!C2021</f>
        <v>CH</v>
      </c>
      <c r="D2313" s="2" t="s">
        <v>2448</v>
      </c>
      <c r="E2313" s="2" t="s">
        <v>2154</v>
      </c>
      <c r="F2313" s="3">
        <f t="shared" ref="F2313:K2313" si="2194">SUM(F2314,F2318,F2321)</f>
        <v>3.4586691996665701E-4</v>
      </c>
      <c r="G2313" s="3">
        <f t="shared" si="2194"/>
        <v>4.1149724843639099E-5</v>
      </c>
      <c r="H2313" s="3">
        <f t="shared" si="2194"/>
        <v>7.8113111339704708E-6</v>
      </c>
      <c r="I2313" s="3">
        <f t="shared" si="2194"/>
        <v>1.1752796014901938E-2</v>
      </c>
      <c r="J2313" s="3">
        <f t="shared" si="2194"/>
        <v>0.25293982653589803</v>
      </c>
      <c r="K2313" s="3">
        <f t="shared" si="2194"/>
        <v>0.36135871887676541</v>
      </c>
      <c r="L2313" s="3">
        <f t="shared" ref="L2313" si="2195">SUM(L2314,L2318,L2321)</f>
        <v>0.34387611732979345</v>
      </c>
      <c r="N2313" s="1"/>
    </row>
    <row r="2314" spans="2:14" x14ac:dyDescent="0.35">
      <c r="B2314" s="5" t="str">
        <f t="shared" ref="B2314:B2340" si="2196">B2313</f>
        <v>SPS1</v>
      </c>
      <c r="C2314" s="5" t="str">
        <f t="shared" ref="C2314:C2340" si="2197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3.4586691996665701E-4</v>
      </c>
      <c r="G2314" s="1" cm="1">
        <f t="array" ref="G2314">SUMPRODUCT(ISNUMBER(SEARCH("SUP_ELCH2*",[1]OUT_SyntheticFuels!$C$4:$C$1000))*1,("var_ncap"=[1]OUT_SyntheticFuels!$B$4:$B$1000)*1,[1]OUT_SyntheticFuels!F$4:F$1000)</f>
        <v>4.1149724843639099E-5</v>
      </c>
      <c r="H2314" s="1" cm="1">
        <f t="array" ref="H2314">SUMPRODUCT(ISNUMBER(SEARCH("SUP_ELCH2*",[1]OUT_SyntheticFuels!$C$4:$C$1000))*1,("var_ncap"=[1]OUT_SyntheticFuels!$B$4:$B$1000)*1,[1]OUT_SyntheticFuels!G$4:G$1000)</f>
        <v>7.8113111339704708E-6</v>
      </c>
      <c r="I2314" s="1" cm="1">
        <f t="array" ref="I2314">SUMPRODUCT(ISNUMBER(SEARCH("SUP_ELCH2*",[1]OUT_SyntheticFuels!$C$4:$C$1000))*1,("var_ncap"=[1]OUT_SyntheticFuels!$B$4:$B$1000)*1,[1]OUT_SyntheticFuels!H$4:H$1000)</f>
        <v>1.1752186629808819E-2</v>
      </c>
      <c r="J2314" s="1" cm="1">
        <f t="array" ref="J2314">SUMPRODUCT(ISNUMBER(SEARCH("SUP_ELCH2*",[2]OUT_SyntheticFuels!$C$4:$C$1000))*1,("var_ncap"=[2]OUT_SyntheticFuels!$B$4:$B$1000)*1,[2]OUT_SyntheticFuels!I$4:I$1000)</f>
        <v>0.25293915164507075</v>
      </c>
      <c r="K2314" s="1" cm="1">
        <f t="array" ref="K2314">SUMPRODUCT(ISNUMBER(SEARCH("SUP_ELCH2*",[2]OUT_SyntheticFuels!$C$4:$C$1000))*1,("var_ncap"=[2]OUT_SyntheticFuels!$B$4:$B$1000)*1,[2]OUT_SyntheticFuels!J$4:J$1000)</f>
        <v>0.36135764836786888</v>
      </c>
      <c r="L2314" s="1" cm="1">
        <f t="array" ref="L2314">SUMPRODUCT(ISNUMBER(SEARCH("SUP_ELCH2*",[2]OUT_SyntheticFuels!$C$4:$C$1000))*1,("var_ncap"=[2]OUT_SyntheticFuels!$B$4:$B$1000)*1,[2]OUT_SyntheticFuels!K$4:K$1000)</f>
        <v>0.34376332157784845</v>
      </c>
      <c r="N2314" s="1"/>
    </row>
    <row r="2315" spans="2:14" x14ac:dyDescent="0.35">
      <c r="B2315" s="5" t="str">
        <f t="shared" si="2196"/>
        <v>SPS1</v>
      </c>
      <c r="C2315" s="5" t="str">
        <f t="shared" si="2197"/>
        <v>CH</v>
      </c>
      <c r="D2315" t="s">
        <v>2450</v>
      </c>
      <c r="E2315" t="s">
        <v>2154</v>
      </c>
      <c r="F2315" s="1">
        <f t="shared" ref="F2315:K2315" si="2198">F2314-F2316-F2317</f>
        <v>3.4586691996665701E-4</v>
      </c>
      <c r="G2315" s="1">
        <f t="shared" si="2198"/>
        <v>4.1149724843639099E-5</v>
      </c>
      <c r="H2315" s="1">
        <f t="shared" si="2198"/>
        <v>7.8113111339704708E-6</v>
      </c>
      <c r="I2315" s="1">
        <f t="shared" si="2198"/>
        <v>1.1744110999406501E-2</v>
      </c>
      <c r="J2315" s="1">
        <f t="shared" si="2198"/>
        <v>0.25293077582852902</v>
      </c>
      <c r="K2315" s="1">
        <f t="shared" si="2198"/>
        <v>0.14479278725409298</v>
      </c>
      <c r="L2315" s="1">
        <f t="shared" ref="L2315" si="2199">L2314-L2316-L2317</f>
        <v>0.33653295574549802</v>
      </c>
      <c r="N2315" s="1"/>
    </row>
    <row r="2316" spans="2:14" x14ac:dyDescent="0.35">
      <c r="B2316" s="5" t="str">
        <f t="shared" si="2196"/>
        <v>SPS1</v>
      </c>
      <c r="C2316" s="5" t="str">
        <f t="shared" si="2197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8.0756304023186896E-6</v>
      </c>
      <c r="J2316" s="1" cm="1">
        <f t="array" ref="J2316">SUMPRODUCT(ISNUMBER(SEARCH("SUP_ELCH2*D",[2]OUT_SyntheticFuels!$C$4:$C$1000))*1,("var_ncap"=[2]OUT_SyntheticFuels!$B$4:$B$1000)*1,[2]OUT_SyntheticFuels!I$4:I$1000)</f>
        <v>8.3758165417020108E-6</v>
      </c>
      <c r="K2316" s="1" cm="1">
        <f t="array" ref="K2316">SUMPRODUCT(ISNUMBER(SEARCH("SUP_ELCH2*D",[2]OUT_SyntheticFuels!$C$4:$C$1000))*1,("var_ncap"=[2]OUT_SyntheticFuels!$B$4:$B$1000)*1,[2]OUT_SyntheticFuels!J$4:J$1000)</f>
        <v>0.124365878096799</v>
      </c>
      <c r="L2316" s="1" cm="1">
        <f t="array" ref="L2316">SUMPRODUCT(ISNUMBER(SEARCH("SUP_ELCH2*D",[2]OUT_SyntheticFuels!$C$4:$C$1000))*1,("var_ncap"=[2]OUT_SyntheticFuels!$B$4:$B$1000)*1,[2]OUT_SyntheticFuels!K$4:K$1000)</f>
        <v>7.2265020469600497E-3</v>
      </c>
      <c r="N2316" s="1"/>
    </row>
    <row r="2317" spans="2:14" x14ac:dyDescent="0.35">
      <c r="B2317" s="5" t="str">
        <f t="shared" si="2196"/>
        <v>SPS1</v>
      </c>
      <c r="C2317" s="5" t="str">
        <f t="shared" si="2197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9.2198983016976904E-2</v>
      </c>
      <c r="L2317" s="1" cm="1">
        <f t="array" ref="L2317">SUMPRODUCT(ISNUMBER(SEARCH("SUP_ELCH2*SOEC*",[2]OUT_SyntheticFuels!$C$4:$C$1000))*1,("var_ncap"=[2]OUT_SyntheticFuels!$B$4:$B$1000)*1,[2]OUT_SyntheticFuels!K$4:K$1000)</f>
        <v>3.8637853903817297E-6</v>
      </c>
      <c r="N2317" s="1"/>
    </row>
    <row r="2318" spans="2:14" x14ac:dyDescent="0.35">
      <c r="B2318" s="5" t="str">
        <f t="shared" si="2196"/>
        <v>SPS1</v>
      </c>
      <c r="C2318" s="5" t="str">
        <f t="shared" si="2197"/>
        <v>CH</v>
      </c>
      <c r="D2318" t="s">
        <v>2453</v>
      </c>
      <c r="E2318" t="s">
        <v>2154</v>
      </c>
      <c r="F2318" s="1">
        <f t="shared" ref="F2318:K2318" si="2200">SUM(F2319:F2320)</f>
        <v>0</v>
      </c>
      <c r="G2318" s="1">
        <f t="shared" si="2200"/>
        <v>0</v>
      </c>
      <c r="H2318" s="1">
        <f t="shared" si="2200"/>
        <v>0</v>
      </c>
      <c r="I2318" s="1">
        <f t="shared" si="2200"/>
        <v>6.0938509311960398E-7</v>
      </c>
      <c r="J2318" s="1">
        <f t="shared" si="2200"/>
        <v>6.7489082727004899E-7</v>
      </c>
      <c r="K2318" s="1">
        <f t="shared" si="2200"/>
        <v>1.0705088965460341E-6</v>
      </c>
      <c r="L2318" s="1">
        <f t="shared" ref="L2318" si="2201">SUM(L2319:L2320)</f>
        <v>1.127957519450125E-4</v>
      </c>
      <c r="N2318" s="1"/>
    </row>
    <row r="2319" spans="2:14" x14ac:dyDescent="0.35">
      <c r="B2319" s="5" t="str">
        <f t="shared" si="2196"/>
        <v>SPS1</v>
      </c>
      <c r="C2319" s="5" t="str">
        <f t="shared" si="2197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6.0938509311960398E-7</v>
      </c>
      <c r="J2319" s="1" cm="1">
        <f t="array" ref="J2319">SUMPRODUCT(ISNUMBER(SEARCH("SUP_NGAH2",[2]OUT_SyntheticFuels!$C$4:$C$1000))*1,("var_ncap"=[2]OUT_SyntheticFuels!$B$4:$B$1000)*1,[2]OUT_SyntheticFuels!I$4:I$1000)-J2320</f>
        <v>6.7489082727004899E-7</v>
      </c>
      <c r="K2319" s="1" cm="1">
        <f t="array" ref="K2319">SUMPRODUCT(ISNUMBER(SEARCH("SUP_NGAH2",[2]OUT_SyntheticFuels!$C$4:$C$1000))*1,("var_ncap"=[2]OUT_SyntheticFuels!$B$4:$B$1000)*1,[2]OUT_SyntheticFuels!J$4:J$1000)-K2320</f>
        <v>7.2862889212586813E-7</v>
      </c>
      <c r="L2319" s="1" cm="1">
        <f t="array" ref="L2319">SUMPRODUCT(ISNUMBER(SEARCH("SUP_NGAH2",[2]OUT_SyntheticFuels!$C$4:$C$1000))*1,("var_ncap"=[2]OUT_SyntheticFuels!$B$4:$B$1000)*1,[2]OUT_SyntheticFuels!K$4:K$1000)-L2320</f>
        <v>7.17841169953503E-5</v>
      </c>
      <c r="N2319" s="1"/>
    </row>
    <row r="2320" spans="2:14" x14ac:dyDescent="0.35">
      <c r="B2320" s="5" t="str">
        <f t="shared" si="2196"/>
        <v>SPS1</v>
      </c>
      <c r="C2320" s="5" t="str">
        <f t="shared" si="2197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3.4188000442016598E-7</v>
      </c>
      <c r="L2320" s="1" cm="1">
        <f t="array" ref="L2320">SUMPRODUCT(ISNUMBER(SEARCH("SUP_NGAH2CCS",[2]OUT_SyntheticFuels!$C$4:$C$1000))*1,("var_ncap"=[2]OUT_SyntheticFuels!$B$4:$B$1000)*1,[2]OUT_SyntheticFuels!K$4:K$1000)</f>
        <v>4.1011634949662202E-5</v>
      </c>
      <c r="N2320" s="1"/>
    </row>
    <row r="2321" spans="2:14" x14ac:dyDescent="0.35">
      <c r="B2321" s="5" t="str">
        <f t="shared" si="2196"/>
        <v>SPS1</v>
      </c>
      <c r="C2321" s="5" t="str">
        <f t="shared" si="2197"/>
        <v>CH</v>
      </c>
      <c r="D2321" t="s">
        <v>2456</v>
      </c>
      <c r="E2321" t="s">
        <v>2154</v>
      </c>
      <c r="F2321" s="1">
        <f t="shared" ref="F2321:K2321" si="2202">SUM(F2322:F2323)</f>
        <v>0</v>
      </c>
      <c r="G2321" s="1">
        <f t="shared" si="2202"/>
        <v>0</v>
      </c>
      <c r="H2321" s="1">
        <f t="shared" si="2202"/>
        <v>0</v>
      </c>
      <c r="I2321" s="1">
        <f t="shared" si="2202"/>
        <v>0</v>
      </c>
      <c r="J2321" s="1">
        <f t="shared" si="2202"/>
        <v>0</v>
      </c>
      <c r="K2321" s="1">
        <f t="shared" si="2202"/>
        <v>0</v>
      </c>
      <c r="L2321" s="1">
        <f t="shared" ref="L2321" si="2203">SUM(L2322:L2323)</f>
        <v>0</v>
      </c>
      <c r="N2321" s="1"/>
    </row>
    <row r="2322" spans="2:14" x14ac:dyDescent="0.35">
      <c r="B2322" s="5" t="str">
        <f t="shared" si="2196"/>
        <v>SPS1</v>
      </c>
      <c r="C2322" s="5" t="str">
        <f t="shared" si="2197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6"/>
        <v>SPS1</v>
      </c>
      <c r="C2323" s="5" t="str">
        <f t="shared" si="2197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6"/>
        <v>SPS1</v>
      </c>
      <c r="C2324" s="5" t="str">
        <f t="shared" si="2197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6"/>
        <v>SPS1</v>
      </c>
      <c r="C2325" s="5" t="str">
        <f t="shared" si="2197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3.2669331616104403E-7</v>
      </c>
      <c r="G2325" s="7" cm="1">
        <f t="array" ref="G2325">SUMPRODUCT(("CT_CWODBDS"=[1]OUT_SyntheticFuels!$C$4:$C$1000)*1,("var_ncap"=[1]OUT_SyntheticFuels!$B$4:$B$1000)*1,[1]OUT_SyntheticFuels!F$4:F$1000)</f>
        <v>2.1303919525828499E-7</v>
      </c>
      <c r="H2325" s="7" cm="1">
        <f t="array" ref="H2325">SUMPRODUCT(("CT_CWODBDS"=[1]OUT_SyntheticFuels!$C$4:$C$1000)*1,("var_ncap"=[1]OUT_SyntheticFuels!$B$4:$B$1000)*1,[1]OUT_SyntheticFuels!G$4:G$1000)</f>
        <v>2.1490911231977499E-7</v>
      </c>
      <c r="I2325" s="7" cm="1">
        <f t="array" ref="I2325">SUMPRODUCT(("CT_CWODBDS"=[1]OUT_SyntheticFuels!$C$4:$C$1000)*1,("var_ncap"=[1]OUT_SyntheticFuels!$B$4:$B$1000)*1,[1]OUT_SyntheticFuels!H$4:H$1000)</f>
        <v>2.8583676473777601E-7</v>
      </c>
      <c r="J2325" s="7" cm="1">
        <f t="array" ref="J2325">SUMPRODUCT(("CT_CWODBDS"=[2]OUT_SyntheticFuels!$C$4:$C$1000)*1,("var_ncap"=[2]OUT_SyntheticFuels!$B$4:$B$1000)*1,[2]OUT_SyntheticFuels!I$4:I$1000)</f>
        <v>1.11798049638201E-5</v>
      </c>
      <c r="K2325" s="7" cm="1">
        <f t="array" ref="K2325">SUMPRODUCT(("CT_CWODBDS"=[2]OUT_SyntheticFuels!$C$4:$C$1000)*1,("var_ncap"=[2]OUT_SyntheticFuels!$B$4:$B$1000)*1,[2]OUT_SyntheticFuels!J$4:J$1000)</f>
        <v>5.7063416901873401E-6</v>
      </c>
      <c r="L2325" s="7" cm="1">
        <f t="array" ref="L2325">SUMPRODUCT(("CT_CWODBDS"=[2]OUT_SyntheticFuels!$C$4:$C$1000)*1,("var_ncap"=[2]OUT_SyntheticFuels!$B$4:$B$1000)*1,[2]OUT_SyntheticFuels!K$4:K$1000)</f>
        <v>6.6018776548627506E-2</v>
      </c>
      <c r="N2325" s="1"/>
    </row>
    <row r="2326" spans="2:14" x14ac:dyDescent="0.35">
      <c r="B2326" s="5" t="str">
        <f t="shared" si="2196"/>
        <v>SPS1</v>
      </c>
      <c r="C2326" s="5" t="str">
        <f t="shared" si="2197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6"/>
        <v>SPS1</v>
      </c>
      <c r="C2327" s="5" t="str">
        <f t="shared" si="2197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5.7302945954751999E-3</v>
      </c>
      <c r="G2327" s="7" cm="1">
        <f t="array" ref="G2327">SUMPRODUCT(("CT_CWODETH"=[1]OUT_SyntheticFuels!$C$4:$C$1000)*1,("var_ncap"=[1]OUT_SyntheticFuels!$B$4:$B$1000)*1,[1]OUT_SyntheticFuels!F$4:F$1000)</f>
        <v>3.3465558793107703E-7</v>
      </c>
      <c r="H2327" s="7" cm="1">
        <f t="array" ref="H2327">SUMPRODUCT(("CT_CWODETH"=[1]OUT_SyntheticFuels!$C$4:$C$1000)*1,("var_ncap"=[1]OUT_SyntheticFuels!$B$4:$B$1000)*1,[1]OUT_SyntheticFuels!G$4:G$1000)</f>
        <v>5.1879012688706E-7</v>
      </c>
      <c r="I2327" s="7" cm="1">
        <f t="array" ref="I2327">SUMPRODUCT(("CT_CWODETH"=[1]OUT_SyntheticFuels!$C$4:$C$1000)*1,("var_ncap"=[1]OUT_SyntheticFuels!$B$4:$B$1000)*1,[1]OUT_SyntheticFuels!H$4:H$1000)</f>
        <v>2.7801285103809499E-7</v>
      </c>
      <c r="J2327" s="7" cm="1">
        <f t="array" ref="J2327">SUMPRODUCT(("CT_CWODETH"=[2]OUT_SyntheticFuels!$C$4:$C$1000)*1,("var_ncap"=[2]OUT_SyntheticFuels!$B$4:$B$1000)*1,[2]OUT_SyntheticFuels!I$4:I$1000)</f>
        <v>5.22468093518245E-7</v>
      </c>
      <c r="K2327" s="7" cm="1">
        <f t="array" ref="K2327">SUMPRODUCT(("CT_CWODETH"=[2]OUT_SyntheticFuels!$C$4:$C$1000)*1,("var_ncap"=[2]OUT_SyntheticFuels!$B$4:$B$1000)*1,[2]OUT_SyntheticFuels!J$4:J$1000)</f>
        <v>4.3991843674197699E-6</v>
      </c>
      <c r="L2327" s="7" cm="1">
        <f t="array" ref="L2327">SUMPRODUCT(("CT_CWODETH"=[2]OUT_SyntheticFuels!$C$4:$C$1000)*1,("var_ncap"=[2]OUT_SyntheticFuels!$B$4:$B$1000)*1,[2]OUT_SyntheticFuels!K$4:K$1000)</f>
        <v>2.3974904235155099E-4</v>
      </c>
      <c r="N2327" s="1"/>
    </row>
    <row r="2328" spans="2:14" x14ac:dyDescent="0.35">
      <c r="B2328" s="5" t="str">
        <f t="shared" si="2196"/>
        <v>SPS1</v>
      </c>
      <c r="C2328" s="5" t="str">
        <f t="shared" si="2197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6"/>
        <v>SPS1</v>
      </c>
      <c r="C2329" s="5" t="str">
        <f t="shared" si="2197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5.0834873146953299E-2</v>
      </c>
      <c r="G2329" s="7" cm="1">
        <f t="array" ref="G2329">SUMPRODUCT(("SUP_MNRBIO"=[1]OUT_SyntheticFuels!$C$4:$C$1000)*1,("var_ncap"=[1]OUT_SyntheticFuels!$B$4:$B$1000)*1,[1]OUT_SyntheticFuels!F$4:F$1000)</f>
        <v>8.0014460959624695E-2</v>
      </c>
      <c r="H2329" s="7" cm="1">
        <f t="array" ref="H2329">SUMPRODUCT(("SUP_MNRBIO"=[1]OUT_SyntheticFuels!$C$4:$C$1000)*1,("var_ncap"=[1]OUT_SyntheticFuels!$B$4:$B$1000)*1,[1]OUT_SyntheticFuels!G$4:G$1000)</f>
        <v>3.1549002900295102E-2</v>
      </c>
      <c r="I2329" s="7" cm="1">
        <f t="array" ref="I2329">SUMPRODUCT(("SUP_MNRBIO"=[1]OUT_SyntheticFuels!$C$4:$C$1000)*1,("var_ncap"=[1]OUT_SyntheticFuels!$B$4:$B$1000)*1,[1]OUT_SyntheticFuels!H$4:H$1000)</f>
        <v>4.6616570917989597E-6</v>
      </c>
      <c r="J2329" s="7" cm="1">
        <f t="array" ref="J2329">SUMPRODUCT(("SUP_MNRBIO"=[2]OUT_SyntheticFuels!$C$4:$C$1000)*1,("var_ncap"=[2]OUT_SyntheticFuels!$B$4:$B$1000)*1,[2]OUT_SyntheticFuels!I$4:I$1000)</f>
        <v>5.1119616380601998E-6</v>
      </c>
      <c r="K2329" s="7" cm="1">
        <f t="array" ref="K2329">SUMPRODUCT(("SUP_MNRBIO"=[2]OUT_SyntheticFuels!$C$4:$C$1000)*1,("var_ncap"=[2]OUT_SyntheticFuels!$B$4:$B$1000)*1,[2]OUT_SyntheticFuels!J$4:J$1000)</f>
        <v>9.8388448343940393E-2</v>
      </c>
      <c r="L2329" s="7" cm="1">
        <f t="array" ref="L2329">SUMPRODUCT(("SUP_MNRBIO"=[2]OUT_SyntheticFuels!$C$4:$C$1000)*1,("var_ncap"=[2]OUT_SyntheticFuels!$B$4:$B$1000)*1,[2]OUT_SyntheticFuels!K$4:K$1000)</f>
        <v>0.248889035519331</v>
      </c>
      <c r="N2329" s="1"/>
    </row>
    <row r="2330" spans="2:14" x14ac:dyDescent="0.35">
      <c r="B2330" s="5" t="str">
        <f t="shared" si="2196"/>
        <v>SPS1</v>
      </c>
      <c r="C2330" s="5" t="str">
        <f t="shared" si="2197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4.0986206701093897E-3</v>
      </c>
      <c r="G2330" s="7" cm="1">
        <f t="array" ref="G2330">SUMPRODUCT(("SUP_WSTBIO"=[1]OUT_SyntheticFuels!$C$4:$C$1000)*1,("var_ncap"=[1]OUT_SyntheticFuels!$B$4:$B$1000)*1,[1]OUT_SyntheticFuels!F$4:F$1000)</f>
        <v>9.81989305833832E-3</v>
      </c>
      <c r="H2330" s="7" cm="1">
        <f t="array" ref="H2330">SUMPRODUCT(("SUP_WSTBIO"=[1]OUT_SyntheticFuels!$C$4:$C$1000)*1,("var_ncap"=[1]OUT_SyntheticFuels!$B$4:$B$1000)*1,[1]OUT_SyntheticFuels!G$4:G$1000)</f>
        <v>1.0178057172175201E-6</v>
      </c>
      <c r="I2330" s="7" cm="1">
        <f t="array" ref="I2330">SUMPRODUCT(("SUP_WSTBIO"=[1]OUT_SyntheticFuels!$C$4:$C$1000)*1,("var_ncap"=[1]OUT_SyntheticFuels!$B$4:$B$1000)*1,[1]OUT_SyntheticFuels!H$4:H$1000)</f>
        <v>0.11256342103113</v>
      </c>
      <c r="J2330" s="7" cm="1">
        <f t="array" ref="J2330">SUMPRODUCT(("SUP_WSTBIO"=[2]OUT_SyntheticFuels!$C$4:$C$1000)*1,("var_ncap"=[2]OUT_SyntheticFuels!$B$4:$B$1000)*1,[2]OUT_SyntheticFuels!I$4:I$1000)</f>
        <v>0.148294710241787</v>
      </c>
      <c r="K2330" s="7" cm="1">
        <f t="array" ref="K2330">SUMPRODUCT(("SUP_WSTBIO"=[2]OUT_SyntheticFuels!$C$4:$C$1000)*1,("var_ncap"=[2]OUT_SyntheticFuels!$B$4:$B$1000)*1,[2]OUT_SyntheticFuels!J$4:J$1000)</f>
        <v>1.99637800712444E-2</v>
      </c>
      <c r="L2330" s="7" cm="1">
        <f t="array" ref="L2330">SUMPRODUCT(("SUP_WSTBIO"=[2]OUT_SyntheticFuels!$C$4:$C$1000)*1,("var_ncap"=[2]OUT_SyntheticFuels!$B$4:$B$1000)*1,[2]OUT_SyntheticFuels!K$4:K$1000)</f>
        <v>0.110245429142781</v>
      </c>
      <c r="N2330" s="1"/>
    </row>
    <row r="2331" spans="2:14" x14ac:dyDescent="0.35">
      <c r="B2331" s="5" t="str">
        <f t="shared" si="2196"/>
        <v>SPS1</v>
      </c>
      <c r="C2331" s="5" t="str">
        <f t="shared" si="2197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6"/>
        <v>SPS1</v>
      </c>
      <c r="C2332" s="5" t="str">
        <f t="shared" si="2197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1.3830784490760699E-5</v>
      </c>
      <c r="L2332" s="7" cm="1">
        <f t="array" ref="L2332">SUMPRODUCT(("SUP_WSTHTGBIO"=[2]OUT_SyntheticFuels!$C$4:$C$1000)*1,("var_ncap"=[2]OUT_SyntheticFuels!$B$4:$B$1000)*1,[2]OUT_SyntheticFuels!K$4:K$1000)</f>
        <v>8.9059944537928602E-8</v>
      </c>
      <c r="N2332" s="1"/>
    </row>
    <row r="2333" spans="2:14" x14ac:dyDescent="0.35">
      <c r="B2333" s="5" t="str">
        <f t="shared" si="2196"/>
        <v>SPS1</v>
      </c>
      <c r="C2333" s="5" t="str">
        <f t="shared" si="2197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6"/>
        <v>SPS1</v>
      </c>
      <c r="C2334" s="5" t="str">
        <f t="shared" si="2197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9.41865396550269E-7</v>
      </c>
      <c r="G2334" s="7" cm="1">
        <f t="array" ref="G2334">SUMPRODUCT(("SUP_WODBIO"=[1]OUT_SyntheticFuels!$C$4:$C$1000)*1,("var_ncap"=[1]OUT_SyntheticFuels!$B$4:$B$1000)*1,[1]OUT_SyntheticFuels!F$4:F$1000)</f>
        <v>3.31463735536818E-5</v>
      </c>
      <c r="H2334" s="7" cm="1">
        <f t="array" ref="H2334">SUMPRODUCT(("SUP_WODBIO"=[1]OUT_SyntheticFuels!$C$4:$C$1000)*1,("var_ncap"=[1]OUT_SyntheticFuels!$B$4:$B$1000)*1,[1]OUT_SyntheticFuels!G$4:G$1000)</f>
        <v>1.2238697825441199E-6</v>
      </c>
      <c r="I2334" s="7" cm="1">
        <f t="array" ref="I2334">SUMPRODUCT(("SUP_WODBIO"=[1]OUT_SyntheticFuels!$C$4:$C$1000)*1,("var_ncap"=[1]OUT_SyntheticFuels!$B$4:$B$1000)*1,[1]OUT_SyntheticFuels!H$4:H$1000)</f>
        <v>8.1657787236796597E-7</v>
      </c>
      <c r="J2334" s="7" cm="1">
        <f t="array" ref="J2334">SUMPRODUCT(("SUP_WODBIO"=[2]OUT_SyntheticFuels!$C$4:$C$1000)*1,("var_ncap"=[2]OUT_SyntheticFuels!$B$4:$B$1000)*1,[2]OUT_SyntheticFuels!I$4:I$1000)</f>
        <v>1.06562459246518E-5</v>
      </c>
      <c r="K2334" s="7" cm="1">
        <f t="array" ref="K2334">SUMPRODUCT(("SUP_WODBIO"=[2]OUT_SyntheticFuels!$C$4:$C$1000)*1,("var_ncap"=[2]OUT_SyntheticFuels!$B$4:$B$1000)*1,[2]OUT_SyntheticFuels!J$4:J$1000)</f>
        <v>6.0609578082261598E-6</v>
      </c>
      <c r="L2334" s="7" cm="1">
        <f t="array" ref="L2334">SUMPRODUCT(("SUP_WODBIO"=[2]OUT_SyntheticFuels!$C$4:$C$1000)*1,("var_ncap"=[2]OUT_SyntheticFuels!$B$4:$B$1000)*1,[2]OUT_SyntheticFuels!K$4:K$1000)</f>
        <v>7.8394865298502794E-6</v>
      </c>
      <c r="N2334" s="1"/>
    </row>
    <row r="2335" spans="2:14" x14ac:dyDescent="0.35">
      <c r="B2335" s="5" t="str">
        <f t="shared" si="2196"/>
        <v>SPS1</v>
      </c>
      <c r="C2335" s="5" t="str">
        <f t="shared" si="2197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6"/>
        <v>SPS1</v>
      </c>
      <c r="C2336" s="5" t="str">
        <f t="shared" si="2197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1.4313324894355399E-2</v>
      </c>
      <c r="G2336" s="7" cm="1">
        <f t="array" ref="G2336">SUMPRODUCT(("SUP_BIONGA"=[1]OUT_SyntheticFuels!$C$4:$C$1000)*1,("var_ncap"=[1]OUT_SyntheticFuels!$B$4:$B$1000)*1,[1]OUT_SyntheticFuels!F$4:F$1000)</f>
        <v>6.5614252153066197E-2</v>
      </c>
      <c r="H2336" s="7" cm="1">
        <f t="array" ref="H2336">SUMPRODUCT(("SUP_BIONGA"=[1]OUT_SyntheticFuels!$C$4:$C$1000)*1,("var_ncap"=[1]OUT_SyntheticFuels!$B$4:$B$1000)*1,[1]OUT_SyntheticFuels!G$4:G$1000)</f>
        <v>4.0714995172776401E-7</v>
      </c>
      <c r="I2336" s="7" cm="1">
        <f t="array" ref="I2336">SUMPRODUCT(("SUP_BIONGA"=[1]OUT_SyntheticFuels!$C$4:$C$1000)*1,("var_ncap"=[1]OUT_SyntheticFuels!$B$4:$B$1000)*1,[1]OUT_SyntheticFuels!H$4:H$1000)</f>
        <v>5.5756574539189695E-7</v>
      </c>
      <c r="J2336" s="7" cm="1">
        <f t="array" ref="J2336">SUMPRODUCT(("SUP_BIONGA"=[2]OUT_SyntheticFuels!$C$4:$C$1000)*1,("var_ncap"=[2]OUT_SyntheticFuels!$B$4:$B$1000)*1,[2]OUT_SyntheticFuels!I$4:I$1000)</f>
        <v>1.6892629296459901E-6</v>
      </c>
      <c r="K2336" s="7" cm="1">
        <f t="array" ref="K2336">SUMPRODUCT(("SUP_BIONGA"=[2]OUT_SyntheticFuels!$C$4:$C$1000)*1,("var_ncap"=[2]OUT_SyntheticFuels!$B$4:$B$1000)*1,[2]OUT_SyntheticFuels!J$4:J$1000)</f>
        <v>4.7670364626225703E-2</v>
      </c>
      <c r="L2336" s="7" cm="1">
        <f t="array" ref="L2336">SUMPRODUCT(("SUP_BIONGA"=[2]OUT_SyntheticFuels!$C$4:$C$1000)*1,("var_ncap"=[2]OUT_SyntheticFuels!$B$4:$B$1000)*1,[2]OUT_SyntheticFuels!K$4:K$1000)</f>
        <v>5.6042081372473997E-2</v>
      </c>
      <c r="N2336" s="1"/>
    </row>
    <row r="2337" spans="2:14" x14ac:dyDescent="0.35">
      <c r="B2337" s="5" t="str">
        <f t="shared" si="2196"/>
        <v>SPS1</v>
      </c>
      <c r="C2337" s="5" t="str">
        <f t="shared" si="2197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0.153447411962192</v>
      </c>
      <c r="G2337" s="7" cm="1">
        <f t="array" ref="G2337">SUMPRODUCT(("CT_CWODPLT"=[1]OUT_SyntheticFuels!$C$4:$C$1000)*1,("var_ncap"=[1]OUT_SyntheticFuels!$B$4:$B$1000)*1,[1]OUT_SyntheticFuels!F$4:F$1000)</f>
        <v>5.4302336022296803E-2</v>
      </c>
      <c r="H2337" s="7" cm="1">
        <f t="array" ref="H2337">SUMPRODUCT(("CT_CWODPLT"=[1]OUT_SyntheticFuels!$C$4:$C$1000)*1,("var_ncap"=[1]OUT_SyntheticFuels!$B$4:$B$1000)*1,[1]OUT_SyntheticFuels!G$4:G$1000)</f>
        <v>1.4238812481764901E-6</v>
      </c>
      <c r="I2337" s="7" cm="1">
        <f t="array" ref="I2337">SUMPRODUCT(("CT_CWODPLT"=[1]OUT_SyntheticFuels!$C$4:$C$1000)*1,("var_ncap"=[1]OUT_SyntheticFuels!$B$4:$B$1000)*1,[1]OUT_SyntheticFuels!H$4:H$1000)</f>
        <v>1.9939207896641598E-6</v>
      </c>
      <c r="J2337" s="7" cm="1">
        <f t="array" ref="J2337">SUMPRODUCT(("CT_CWODPLT"=[2]OUT_SyntheticFuels!$C$4:$C$1000)*1,("var_ncap"=[2]OUT_SyntheticFuels!$B$4:$B$1000)*1,[2]OUT_SyntheticFuels!I$4:I$1000)</f>
        <v>7.12980988647713E-2</v>
      </c>
      <c r="K2337" s="7" cm="1">
        <f t="array" ref="K2337">SUMPRODUCT(("CT_CWODPLT"=[2]OUT_SyntheticFuels!$C$4:$C$1000)*1,("var_ncap"=[2]OUT_SyntheticFuels!$B$4:$B$1000)*1,[2]OUT_SyntheticFuels!J$4:J$1000)</f>
        <v>0.15490364415272001</v>
      </c>
      <c r="L2337" s="7" cm="1">
        <f t="array" ref="L2337">SUMPRODUCT(("CT_CWODPLT"=[2]OUT_SyntheticFuels!$C$4:$C$1000)*1,("var_ncap"=[2]OUT_SyntheticFuels!$B$4:$B$1000)*1,[2]OUT_SyntheticFuels!K$4:K$1000)</f>
        <v>7.5937555438845103E-2</v>
      </c>
      <c r="N2337" s="1"/>
    </row>
    <row r="2338" spans="2:14" x14ac:dyDescent="0.35">
      <c r="B2338" s="5" t="str">
        <f t="shared" si="2196"/>
        <v>SPS1</v>
      </c>
      <c r="C2338" s="5" t="str">
        <f t="shared" si="2197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1.0129135918055001E-6</v>
      </c>
      <c r="J2338" s="7" cm="1">
        <f t="array" ref="J2338">SUMPRODUCT(("SUP_H2NGA"=[2]OUT_SyntheticFuels!$C$4:$C$1000)*1,("var_ncap"=[2]OUT_SyntheticFuels!$B$4:$B$1000)*1,[2]OUT_SyntheticFuels!I$4:I$1000)</f>
        <v>1.41753694689382E-6</v>
      </c>
      <c r="K2338" s="7" cm="1">
        <f t="array" ref="K2338">SUMPRODUCT(("SUP_H2NGA"=[2]OUT_SyntheticFuels!$C$4:$C$1000)*1,("var_ncap"=[2]OUT_SyntheticFuels!$B$4:$B$1000)*1,[2]OUT_SyntheticFuels!J$4:J$1000)</f>
        <v>8.91392582199285E-5</v>
      </c>
      <c r="L2338" s="7" cm="1">
        <f t="array" ref="L2338">SUMPRODUCT(("SUP_H2NGA"=[2]OUT_SyntheticFuels!$C$4:$C$1000)*1,("var_ncap"=[2]OUT_SyntheticFuels!$B$4:$B$1000)*1,[2]OUT_SyntheticFuels!K$4:K$1000)</f>
        <v>4.1379377377557299E-4</v>
      </c>
      <c r="N2338" s="1"/>
    </row>
    <row r="2339" spans="2:14" x14ac:dyDescent="0.35">
      <c r="B2339" s="5" t="str">
        <f t="shared" si="2196"/>
        <v>SPS1</v>
      </c>
      <c r="C2339" s="5" t="str">
        <f t="shared" si="2197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1.54686362820378E-6</v>
      </c>
      <c r="J2339" s="7" cm="1">
        <f t="array" ref="J2339">SUMPRODUCT(("SUP_H2DSL"=[2]OUT_SyntheticFuels!$C$4:$C$1000)*1,("var_ncap"=[2]OUT_SyntheticFuels!$B$4:$B$1000)*1,[2]OUT_SyntheticFuels!I$4:I$1000)</f>
        <v>2.3855735096789901E-6</v>
      </c>
      <c r="K2339" s="7" cm="1">
        <f t="array" ref="K2339">SUMPRODUCT(("SUP_H2DSL"=[2]OUT_SyntheticFuels!$C$4:$C$1000)*1,("var_ncap"=[2]OUT_SyntheticFuels!$B$4:$B$1000)*1,[2]OUT_SyntheticFuels!J$4:J$1000)</f>
        <v>3.9459525722266599E-4</v>
      </c>
      <c r="L2339" s="7" cm="1">
        <f t="array" ref="L2339">SUMPRODUCT(("SUP_H2DSL"=[2]OUT_SyntheticFuels!$C$4:$C$1000)*1,("var_ncap"=[2]OUT_SyntheticFuels!$B$4:$B$1000)*1,[2]OUT_SyntheticFuels!K$4:K$1000)</f>
        <v>8.8035061249562806E-3</v>
      </c>
      <c r="N2339" s="1"/>
    </row>
    <row r="2340" spans="2:14" x14ac:dyDescent="0.35">
      <c r="B2340" s="5" t="str">
        <f t="shared" si="2196"/>
        <v>SPS1</v>
      </c>
      <c r="C2340" s="5" t="str">
        <f t="shared" si="2197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1.5206468832743999E-6</v>
      </c>
      <c r="J2340" s="7" cm="1">
        <f t="array" ref="J2340">SUMPRODUCT(("SUP_H2GSL"=[2]OUT_SyntheticFuels!$C$4:$C$1000)*1,("var_ncap"=[2]OUT_SyntheticFuels!$B$4:$B$1000)*1,[2]OUT_SyntheticFuels!I$4:I$1000)</f>
        <v>2.0879192393529298E-6</v>
      </c>
      <c r="K2340" s="7" cm="1">
        <f t="array" ref="K2340">SUMPRODUCT(("SUP_H2GSL"=[2]OUT_SyntheticFuels!$C$4:$C$1000)*1,("var_ncap"=[2]OUT_SyntheticFuels!$B$4:$B$1000)*1,[2]OUT_SyntheticFuels!J$4:J$1000)</f>
        <v>2.8123352822721802E-4</v>
      </c>
      <c r="L2340" s="7" cm="1">
        <f t="array" ref="L2340">SUMPRODUCT(("SUP_H2GSL"=[2]OUT_SyntheticFuels!$C$4:$C$1000)*1,("var_ncap"=[2]OUT_SyntheticFuels!$B$4:$B$1000)*1,[2]OUT_SyntheticFuels!K$4:K$1000)</f>
        <v>8.9006376305763996E-3</v>
      </c>
      <c r="N2340" s="1"/>
    </row>
  </sheetData>
  <autoFilter ref="A1:L2340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319:G319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K1158">
    <cfRule type="cellIs" dxfId="1" priority="7" operator="lessThan">
      <formula>0</formula>
    </cfRule>
  </conditionalFormatting>
  <conditionalFormatting sqref="H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716.07429234189794</v>
      </c>
      <c r="D3" s="3">
        <f t="shared" ref="D3:H3" si="0">SUM(D4:D7)</f>
        <v>704.33243819761492</v>
      </c>
      <c r="E3" s="3">
        <f t="shared" si="0"/>
        <v>688.84529741249844</v>
      </c>
      <c r="F3" s="3">
        <f t="shared" si="0"/>
        <v>613.27313486080084</v>
      </c>
      <c r="G3" s="3">
        <f t="shared" si="0"/>
        <v>564.33831601838392</v>
      </c>
      <c r="H3" s="3">
        <f t="shared" si="0"/>
        <v>539.66277195385328</v>
      </c>
    </row>
    <row r="4" spans="2:8" x14ac:dyDescent="0.35">
      <c r="B4" s="25" t="s">
        <v>1727</v>
      </c>
      <c r="C4" s="1">
        <f>SPS1_NUC_High!F763</f>
        <v>142.21747231569131</v>
      </c>
      <c r="D4" s="1">
        <f>SPS1_NUC_High!G763</f>
        <v>142.38203408666604</v>
      </c>
      <c r="E4" s="1">
        <f>SPS1_NUC_High!H763</f>
        <v>147.2819083031282</v>
      </c>
      <c r="F4" s="1">
        <f>SPS1_NUC_High!I763</f>
        <v>144.69018135229624</v>
      </c>
      <c r="G4" s="1">
        <f>SPS1_NUC_High!J763</f>
        <v>146.72448711035727</v>
      </c>
      <c r="H4" s="1">
        <f>SPS1_NUC_High!K763</f>
        <v>147.73126878100263</v>
      </c>
    </row>
    <row r="5" spans="2:8" x14ac:dyDescent="0.35">
      <c r="B5" s="25" t="s">
        <v>1728</v>
      </c>
      <c r="C5" s="1">
        <f>SPS1_NUC_High!F882</f>
        <v>140.1011161858485</v>
      </c>
      <c r="D5" s="1">
        <f>SPS1_NUC_High!G882</f>
        <v>139.62165103524626</v>
      </c>
      <c r="E5" s="1">
        <f>SPS1_NUC_High!H882</f>
        <v>132.90645307515027</v>
      </c>
      <c r="F5" s="1">
        <f>SPS1_NUC_High!I882</f>
        <v>121.43806258000376</v>
      </c>
      <c r="G5" s="1">
        <f>SPS1_NUC_High!J882</f>
        <v>115.21268671398266</v>
      </c>
      <c r="H5" s="1">
        <f>SPS1_NUC_High!K882</f>
        <v>108.71624617862386</v>
      </c>
    </row>
    <row r="6" spans="2:8" x14ac:dyDescent="0.35">
      <c r="B6" s="25" t="s">
        <v>1729</v>
      </c>
      <c r="C6" s="1">
        <f>SPS1_NUC_High!F972</f>
        <v>219.89598865025798</v>
      </c>
      <c r="D6" s="1">
        <f>SPS1_NUC_High!G972</f>
        <v>217.90797142594965</v>
      </c>
      <c r="E6" s="1">
        <f>SPS1_NUC_High!H972</f>
        <v>219.9141550977904</v>
      </c>
      <c r="F6" s="1">
        <f>SPS1_NUC_High!I972</f>
        <v>200.5803524655754</v>
      </c>
      <c r="G6" s="1">
        <f>SPS1_NUC_High!J972</f>
        <v>190.85751396825736</v>
      </c>
      <c r="H6" s="1">
        <f>SPS1_NUC_High!K972</f>
        <v>182.1176291924121</v>
      </c>
    </row>
    <row r="7" spans="2:8" x14ac:dyDescent="0.35">
      <c r="B7" s="25" t="s">
        <v>1730</v>
      </c>
      <c r="C7" s="1">
        <f>SPS1_NUC_High!F1136+SPS1_NUC_High!F1315+SPS1_NUC_High!F1399+SPS1_NUC_High!F1483+SPS1_NUC_High!F1490+SPS1_NUC_High!F1497+SPS1_NUC_High!F1546+SPS1_NUC_High!F1593+SPS1_NUC_High!F1640</f>
        <v>213.85971519010013</v>
      </c>
      <c r="D7" s="1">
        <f>SPS1_NUC_High!G1136+SPS1_NUC_High!G1315+SPS1_NUC_High!G1399+SPS1_NUC_High!G1483+SPS1_NUC_High!G1490+SPS1_NUC_High!G1497+SPS1_NUC_High!G1546+SPS1_NUC_High!G1593+SPS1_NUC_High!G1640</f>
        <v>204.420781649753</v>
      </c>
      <c r="E7" s="1">
        <f>SPS1_NUC_High!H1136+SPS1_NUC_High!H1315+SPS1_NUC_High!H1399+SPS1_NUC_High!H1483+SPS1_NUC_High!H1490+SPS1_NUC_High!H1497+SPS1_NUC_High!H1546+SPS1_NUC_High!H1593+SPS1_NUC_High!H1640</f>
        <v>188.74278093642951</v>
      </c>
      <c r="F7" s="1">
        <f>SPS1_NUC_High!I1136+SPS1_NUC_High!I1315+SPS1_NUC_High!I1399+SPS1_NUC_High!I1483+SPS1_NUC_High!I1490+SPS1_NUC_High!I1497+SPS1_NUC_High!I1546+SPS1_NUC_High!I1593+SPS1_NUC_High!I1640</f>
        <v>146.56453846292547</v>
      </c>
      <c r="G7" s="1">
        <f>SPS1_NUC_High!J1136+SPS1_NUC_High!J1315+SPS1_NUC_High!J1399+SPS1_NUC_High!J1483+SPS1_NUC_High!J1490+SPS1_NUC_High!J1497+SPS1_NUC_High!J1546+SPS1_NUC_High!J1593+SPS1_NUC_High!J1640</f>
        <v>111.54362822578668</v>
      </c>
      <c r="H7" s="1">
        <f>SPS1_NUC_High!K1136+SPS1_NUC_High!K1315+SPS1_NUC_High!K1399+SPS1_NUC_High!K1483+SPS1_NUC_High!K1490+SPS1_NUC_High!K1497+SPS1_NUC_High!K1546+SPS1_NUC_High!K1593+SPS1_NUC_High!K1640</f>
        <v>101.09762780181478</v>
      </c>
    </row>
    <row r="8" spans="2:8" x14ac:dyDescent="0.35">
      <c r="B8" s="2" t="s">
        <v>1735</v>
      </c>
      <c r="C8" s="3">
        <f>SUM(C9:C12)</f>
        <v>509.71740334889483</v>
      </c>
      <c r="D8" s="3">
        <f t="shared" ref="D8:H8" si="1">SUM(D9:D12)</f>
        <v>494.96785358696309</v>
      </c>
      <c r="E8" s="3">
        <f t="shared" si="1"/>
        <v>502.86503328770442</v>
      </c>
      <c r="F8" s="3">
        <f t="shared" si="1"/>
        <v>523.51465909862497</v>
      </c>
      <c r="G8" s="3">
        <f t="shared" si="1"/>
        <v>520.94858569061705</v>
      </c>
      <c r="H8" s="3">
        <f t="shared" si="1"/>
        <v>529.84363186451685</v>
      </c>
    </row>
    <row r="9" spans="2:8" x14ac:dyDescent="0.35">
      <c r="B9" s="25" t="s">
        <v>1732</v>
      </c>
      <c r="C9" s="1">
        <f>SPS1_NUC_High!F291+SPS1_NUC_High!F409</f>
        <v>493.53799289215908</v>
      </c>
      <c r="D9" s="1">
        <f>SPS1_NUC_High!G291+SPS1_NUC_High!G409</f>
        <v>472.8687449659804</v>
      </c>
      <c r="E9" s="1">
        <f>SPS1_NUC_High!H291+SPS1_NUC_High!H409</f>
        <v>477.70736214531388</v>
      </c>
      <c r="F9" s="1">
        <f>SPS1_NUC_High!I291+SPS1_NUC_High!I409</f>
        <v>498.93478173917157</v>
      </c>
      <c r="G9" s="1">
        <f>SPS1_NUC_High!J291+SPS1_NUC_High!J409</f>
        <v>485.78358109625088</v>
      </c>
      <c r="H9" s="1">
        <f>SPS1_NUC_High!K291+SPS1_NUC_High!K409</f>
        <v>493.72487959681303</v>
      </c>
    </row>
    <row r="10" spans="2:8" x14ac:dyDescent="0.35">
      <c r="B10" s="25" t="s">
        <v>1733</v>
      </c>
      <c r="C10" s="1">
        <f>SPS1_NUC_High!F590+SPS1_NUC_High!F604+SPS1_NUC_High!F644</f>
        <v>16.174351057730199</v>
      </c>
      <c r="D10" s="1">
        <f>SPS1_NUC_High!G590+SPS1_NUC_High!G604+SPS1_NUC_High!G644</f>
        <v>22.091160273937451</v>
      </c>
      <c r="E10" s="1">
        <f>SPS1_NUC_High!H590+SPS1_NUC_High!H604+SPS1_NUC_High!H644</f>
        <v>25.149853463866869</v>
      </c>
      <c r="F10" s="1">
        <f>SPS1_NUC_High!I590+SPS1_NUC_High!I604+SPS1_NUC_High!I644</f>
        <v>24.442028578802368</v>
      </c>
      <c r="G10" s="1">
        <f>SPS1_NUC_High!J590+SPS1_NUC_High!J604+SPS1_NUC_High!J644</f>
        <v>25.851828354163398</v>
      </c>
      <c r="H10" s="1">
        <f>SPS1_NUC_High!K590+SPS1_NUC_High!K604+SPS1_NUC_High!K644</f>
        <v>27.424150511577416</v>
      </c>
    </row>
    <row r="11" spans="2:8" x14ac:dyDescent="0.35">
      <c r="B11" s="25" t="s">
        <v>1731</v>
      </c>
      <c r="C11" s="1">
        <f>SPS1_NUC_High!F679</f>
        <v>5.059399005572186E-3</v>
      </c>
      <c r="D11" s="1">
        <f>SPS1_NUC_High!G679</f>
        <v>7.9483470452268758E-3</v>
      </c>
      <c r="E11" s="1">
        <f>SPS1_NUC_High!H679</f>
        <v>7.8176785236874751E-3</v>
      </c>
      <c r="F11" s="1">
        <f>SPS1_NUC_High!I679</f>
        <v>0.13784878065100681</v>
      </c>
      <c r="G11" s="1">
        <f>SPS1_NUC_High!J679</f>
        <v>9.3131762402028162</v>
      </c>
      <c r="H11" s="1">
        <f>SPS1_NUC_High!K679</f>
        <v>8.6945798494941133</v>
      </c>
    </row>
    <row r="12" spans="2:8" x14ac:dyDescent="0.35">
      <c r="B12" s="25" t="s">
        <v>1734</v>
      </c>
      <c r="C12" s="1">
        <f>SPS1_NUC_High!F1707</f>
        <v>0</v>
      </c>
      <c r="D12" s="1">
        <f>SPS1_NUC_High!G1707</f>
        <v>0</v>
      </c>
      <c r="E12" s="1">
        <f>SPS1_NUC_High!H1707</f>
        <v>0</v>
      </c>
      <c r="F12" s="1">
        <f>SPS1_NUC_High!I1707</f>
        <v>0</v>
      </c>
      <c r="G12" s="1">
        <f>SPS1_NUC_High!J1707</f>
        <v>0</v>
      </c>
      <c r="H12" s="1">
        <f>SPS1_NUC_High!K1707</f>
        <v>2.1906632348801007E-5</v>
      </c>
    </row>
    <row r="13" spans="2:8" x14ac:dyDescent="0.35">
      <c r="B13" s="2" t="s">
        <v>1736</v>
      </c>
      <c r="C13" s="3">
        <f>SPS1_NUC_High!F2+SPS1_NUC_High!F20-SPS1_NUC_High!F57</f>
        <v>962.56289010301975</v>
      </c>
      <c r="D13" s="3">
        <f>SPS1_NUC_High!G2+SPS1_NUC_High!G20-SPS1_NUC_High!G57</f>
        <v>957.97353764459444</v>
      </c>
      <c r="E13" s="3">
        <f>SPS1_NUC_High!H2+SPS1_NUC_High!H20-SPS1_NUC_High!H57</f>
        <v>907.77864857264046</v>
      </c>
      <c r="F13" s="3">
        <f>SPS1_NUC_High!I2+SPS1_NUC_High!I20-SPS1_NUC_High!I57</f>
        <v>835.25478364357184</v>
      </c>
      <c r="G13" s="3">
        <f>SPS1_NUC_High!J2+SPS1_NUC_High!J20-SPS1_NUC_High!J57</f>
        <v>786.10030022034925</v>
      </c>
      <c r="H13" s="3">
        <f>SPS1_NUC_High!K2+SPS1_NUC_High!K20-SPS1_NUC_High!K57</f>
        <v>774.17624919096181</v>
      </c>
    </row>
    <row r="14" spans="2:8" x14ac:dyDescent="0.35">
      <c r="B14" s="25" t="s">
        <v>1737</v>
      </c>
      <c r="C14" s="1">
        <f>SPS1_NUC_High!F2</f>
        <v>300.18608525871826</v>
      </c>
      <c r="D14" s="1">
        <f>SPS1_NUC_High!G2</f>
        <v>292.84408447543996</v>
      </c>
      <c r="E14" s="1">
        <f>SPS1_NUC_High!H2</f>
        <v>331.72196475187877</v>
      </c>
      <c r="F14" s="1">
        <f>SPS1_NUC_High!I2</f>
        <v>399.67808396302235</v>
      </c>
      <c r="G14" s="1">
        <f>SPS1_NUC_High!J2</f>
        <v>421.31779057339799</v>
      </c>
      <c r="H14" s="1">
        <f>SPS1_NUC_High!K2</f>
        <v>444.3665745840317</v>
      </c>
    </row>
    <row r="15" spans="2:8" x14ac:dyDescent="0.35">
      <c r="B15" s="25" t="s">
        <v>19</v>
      </c>
      <c r="C15" s="1">
        <f>SPS1_NUC_High!F20</f>
        <v>779.54681520796476</v>
      </c>
      <c r="D15" s="1">
        <f>SPS1_NUC_High!G20</f>
        <v>700.24613260430942</v>
      </c>
      <c r="E15" s="1">
        <f>SPS1_NUC_High!H20</f>
        <v>648.99723440871526</v>
      </c>
      <c r="F15" s="1">
        <f>SPS1_NUC_High!I20</f>
        <v>505.13175264019856</v>
      </c>
      <c r="G15" s="1">
        <f>SPS1_NUC_High!J20</f>
        <v>403.60653957741761</v>
      </c>
      <c r="H15" s="1">
        <f>SPS1_NUC_High!K20</f>
        <v>352.3146720932412</v>
      </c>
    </row>
    <row r="16" spans="2:8" x14ac:dyDescent="0.35">
      <c r="B16" s="25" t="s">
        <v>24</v>
      </c>
      <c r="C16" s="1">
        <f>SPS1_NUC_High!F57</f>
        <v>117.17001036366335</v>
      </c>
      <c r="D16" s="1">
        <f>SPS1_NUC_High!G57</f>
        <v>35.116679435155007</v>
      </c>
      <c r="E16" s="1">
        <f>SPS1_NUC_High!H57</f>
        <v>72.940550587953538</v>
      </c>
      <c r="F16" s="1">
        <f>SPS1_NUC_High!I57</f>
        <v>69.555052959649089</v>
      </c>
      <c r="G16" s="1">
        <f>SPS1_NUC_High!J57</f>
        <v>38.824029930466338</v>
      </c>
      <c r="H16" s="1">
        <f>SPS1_NUC_High!K57</f>
        <v>22.504997486311076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45CD4DF4-8081-4EC6-B945-33217516B613}"/>
</file>

<file path=customXml/itemProps2.xml><?xml version="1.0" encoding="utf-8"?>
<ds:datastoreItem xmlns:ds="http://schemas.openxmlformats.org/officeDocument/2006/customXml" ds:itemID="{DB215EA6-B455-4447-8E87-D94EBAF910C6}"/>
</file>

<file path=customXml/itemProps3.xml><?xml version="1.0" encoding="utf-8"?>
<ds:datastoreItem xmlns:ds="http://schemas.openxmlformats.org/officeDocument/2006/customXml" ds:itemID="{724FA254-48A4-423D-9DFE-08D3A50E9DA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SPS1_NUC_High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