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A5F837C5-28AE-4C63-BC6C-D69E10AD1784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SOC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SPS1_SOC_Mid!$A$1:$L$2340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I133" i="1"/>
  <c r="I140" i="1" s="1" a="1"/>
  <c r="I140" i="1" s="1"/>
  <c r="H133" i="1"/>
  <c r="H140" i="1" s="1" a="1"/>
  <c r="H140" i="1" s="1"/>
  <c r="G133" i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F121" i="1"/>
  <c r="I97" i="1"/>
  <c r="I129" i="1" s="1"/>
  <c r="H97" i="1"/>
  <c r="H129" i="1" s="1"/>
  <c r="G97" i="1"/>
  <c r="F97" i="1"/>
  <c r="F129" i="1" s="1"/>
  <c r="I96" i="1"/>
  <c r="H96" i="1"/>
  <c r="H128" i="1" s="1"/>
  <c r="G96" i="1"/>
  <c r="F96" i="1"/>
  <c r="I95" i="1"/>
  <c r="H95" i="1"/>
  <c r="G95" i="1"/>
  <c r="F95" i="1"/>
  <c r="I94" i="1"/>
  <c r="I126" i="1" s="1"/>
  <c r="H94" i="1"/>
  <c r="H126" i="1" s="1"/>
  <c r="G94" i="1"/>
  <c r="G126" i="1" s="1"/>
  <c r="F94" i="1"/>
  <c r="I93" i="1"/>
  <c r="I125" i="1" s="1"/>
  <c r="H93" i="1"/>
  <c r="G93" i="1"/>
  <c r="G125" i="1" s="1"/>
  <c r="F93" i="1"/>
  <c r="F125" i="1" s="1"/>
  <c r="I92" i="1"/>
  <c r="H92" i="1"/>
  <c r="H124" i="1" s="1"/>
  <c r="G92" i="1"/>
  <c r="F92" i="1"/>
  <c r="F124" i="1" s="1"/>
  <c r="I91" i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I88" i="1"/>
  <c r="I120" i="1" s="1"/>
  <c r="H88" i="1"/>
  <c r="G88" i="1"/>
  <c r="G120" i="1" s="1"/>
  <c r="F88" i="1"/>
  <c r="F120" i="1" s="1"/>
  <c r="I87" i="1"/>
  <c r="H87" i="1"/>
  <c r="H119" i="1" s="1"/>
  <c r="G87" i="1"/>
  <c r="F87" i="1"/>
  <c r="F119" i="1" s="1"/>
  <c r="I86" i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123" i="1" l="1"/>
  <c r="I319" i="1"/>
  <c r="H384" i="1"/>
  <c r="H515" i="1" s="1"/>
  <c r="I320" i="1"/>
  <c r="I475" i="1" s="1"/>
  <c r="H317" i="1"/>
  <c r="H472" i="1" s="1"/>
  <c r="G384" i="1"/>
  <c r="G515" i="1" s="1"/>
  <c r="F301" i="1"/>
  <c r="F465" i="1" s="1"/>
  <c r="F399" i="1"/>
  <c r="F519" i="1" s="1"/>
  <c r="F314" i="1"/>
  <c r="F419" i="1" s="1"/>
  <c r="G726" i="1" a="1"/>
  <c r="G726" i="1" s="1"/>
  <c r="G728" i="1" s="1" a="1"/>
  <c r="G728" i="1" s="1"/>
  <c r="H399" i="1"/>
  <c r="H519" i="1" s="1"/>
  <c r="I380" i="1"/>
  <c r="I437" i="1" s="1"/>
  <c r="I385" i="1"/>
  <c r="I516" i="1" s="1"/>
  <c r="I399" i="1"/>
  <c r="I519" i="1" s="1"/>
  <c r="H742" i="1" a="1"/>
  <c r="H742" i="1" s="1"/>
  <c r="H744" i="1" s="1" a="1"/>
  <c r="H744" i="1" s="1"/>
  <c r="H324" i="1"/>
  <c r="H479" i="1" s="1"/>
  <c r="I315" i="1"/>
  <c r="I420" i="1" s="1"/>
  <c r="F363" i="1"/>
  <c r="F504" i="1" s="1"/>
  <c r="I321" i="1"/>
  <c r="I476" i="1" s="1"/>
  <c r="F317" i="1"/>
  <c r="F472" i="1" s="1"/>
  <c r="G315" i="1"/>
  <c r="G420" i="1" s="1"/>
  <c r="G320" i="1"/>
  <c r="G475" i="1" s="1"/>
  <c r="G325" i="1"/>
  <c r="G480" i="1" s="1"/>
  <c r="F384" i="1"/>
  <c r="F515" i="1" s="1"/>
  <c r="G317" i="1"/>
  <c r="G472" i="1" s="1"/>
  <c r="G322" i="1"/>
  <c r="G477" i="1" s="1"/>
  <c r="F380" i="1"/>
  <c r="F437" i="1" s="1"/>
  <c r="F385" i="1"/>
  <c r="F516" i="1" s="1"/>
  <c r="H380" i="1"/>
  <c r="H437" i="1" s="1"/>
  <c r="H300" i="1"/>
  <c r="H413" i="1" s="1"/>
  <c r="F323" i="1"/>
  <c r="F478" i="1" s="1"/>
  <c r="G323" i="1"/>
  <c r="G478" i="1" s="1"/>
  <c r="F361" i="1"/>
  <c r="F428" i="1" s="1"/>
  <c r="G386" i="1"/>
  <c r="G517" i="1" s="1"/>
  <c r="H301" i="1"/>
  <c r="H465" i="1" s="1"/>
  <c r="H318" i="1"/>
  <c r="H473" i="1" s="1"/>
  <c r="H320" i="1"/>
  <c r="H475" i="1" s="1"/>
  <c r="G398" i="1"/>
  <c r="G439" i="1" s="1"/>
  <c r="I300" i="1"/>
  <c r="I413" i="1" s="1"/>
  <c r="I301" i="1"/>
  <c r="I465" i="1" s="1"/>
  <c r="I323" i="1"/>
  <c r="I478" i="1" s="1"/>
  <c r="H362" i="1"/>
  <c r="H429" i="1" s="1"/>
  <c r="F315" i="1"/>
  <c r="F420" i="1" s="1"/>
  <c r="I361" i="1"/>
  <c r="I428" i="1" s="1"/>
  <c r="H325" i="1"/>
  <c r="H480" i="1" s="1"/>
  <c r="I283" i="1"/>
  <c r="I382" i="1" s="1"/>
  <c r="I513" i="1" s="1"/>
  <c r="I383" i="1"/>
  <c r="I514" i="1" s="1"/>
  <c r="G300" i="1"/>
  <c r="G413" i="1" s="1"/>
  <c r="I119" i="1"/>
  <c r="H323" i="1"/>
  <c r="H478" i="1" s="1"/>
  <c r="F319" i="1"/>
  <c r="F474" i="1" s="1"/>
  <c r="H322" i="1"/>
  <c r="H477" i="1" s="1"/>
  <c r="H364" i="1"/>
  <c r="H198" i="1"/>
  <c r="H361" i="1" s="1"/>
  <c r="H428" i="1" s="1"/>
  <c r="F320" i="1"/>
  <c r="F475" i="1" s="1"/>
  <c r="G362" i="1"/>
  <c r="G429" i="1" s="1"/>
  <c r="I322" i="1"/>
  <c r="I477" i="1" s="1"/>
  <c r="F324" i="1"/>
  <c r="F479" i="1" s="1"/>
  <c r="H385" i="1"/>
  <c r="H516" i="1" s="1"/>
  <c r="F398" i="1"/>
  <c r="F439" i="1" s="1"/>
  <c r="F386" i="1"/>
  <c r="F517" i="1" s="1"/>
  <c r="G899" i="1"/>
  <c r="I314" i="1"/>
  <c r="I419" i="1" s="1"/>
  <c r="H398" i="1"/>
  <c r="H439" i="1" s="1"/>
  <c r="F321" i="1"/>
  <c r="F476" i="1" s="1"/>
  <c r="F362" i="1"/>
  <c r="F429" i="1" s="1"/>
  <c r="I384" i="1"/>
  <c r="I515" i="1" s="1"/>
  <c r="F241" i="1"/>
  <c r="F316" i="1" s="1"/>
  <c r="F471" i="1" s="1"/>
  <c r="I902" i="1"/>
  <c r="G380" i="1"/>
  <c r="G437" i="1" s="1"/>
  <c r="G385" i="1"/>
  <c r="G516" i="1" s="1"/>
  <c r="G399" i="1"/>
  <c r="G519" i="1" s="1"/>
  <c r="G321" i="1"/>
  <c r="G476" i="1" s="1"/>
  <c r="H241" i="1"/>
  <c r="H316" i="1" s="1"/>
  <c r="H471" i="1" s="1"/>
  <c r="H321" i="1"/>
  <c r="H476" i="1" s="1"/>
  <c r="F128" i="1"/>
  <c r="H363" i="1"/>
  <c r="H504" i="1" s="1"/>
  <c r="I317" i="1"/>
  <c r="I472" i="1" s="1"/>
  <c r="F400" i="1"/>
  <c r="F520" i="1" s="1"/>
  <c r="F318" i="1"/>
  <c r="F473" i="1" s="1"/>
  <c r="H386" i="1"/>
  <c r="H517" i="1" s="1"/>
  <c r="H400" i="1"/>
  <c r="H520" i="1" s="1"/>
  <c r="H315" i="1"/>
  <c r="H420" i="1" s="1"/>
  <c r="G318" i="1"/>
  <c r="G473" i="1" s="1"/>
  <c r="F300" i="1"/>
  <c r="F413" i="1" s="1"/>
  <c r="F322" i="1"/>
  <c r="F477" i="1" s="1"/>
  <c r="F364" i="1"/>
  <c r="I386" i="1"/>
  <c r="I517" i="1" s="1"/>
  <c r="H382" i="1"/>
  <c r="H513" i="1" s="1"/>
  <c r="F383" i="1"/>
  <c r="F514" i="1" s="1"/>
  <c r="I726" i="1" a="1"/>
  <c r="I726" i="1" s="1"/>
  <c r="I728" i="1" s="1" a="1"/>
  <c r="I728" i="1" s="1"/>
  <c r="I742" i="1" a="1"/>
  <c r="I742" i="1" s="1"/>
  <c r="I744" i="1" s="1" a="1"/>
  <c r="I744" i="1" s="1"/>
  <c r="F786" i="1"/>
  <c r="F787" i="1" s="1"/>
  <c r="F783" i="1"/>
  <c r="H925" i="1"/>
  <c r="H924" i="1" s="1"/>
  <c r="H903" i="1"/>
  <c r="H902" i="1"/>
  <c r="I274" i="1"/>
  <c r="I363" i="1" s="1"/>
  <c r="I504" i="1" s="1"/>
  <c r="I364" i="1"/>
  <c r="G786" i="1"/>
  <c r="G787" i="1" s="1"/>
  <c r="G783" i="1"/>
  <c r="H786" i="1"/>
  <c r="H787" i="1" s="1"/>
  <c r="H783" i="1"/>
  <c r="F382" i="1"/>
  <c r="F513" i="1" s="1"/>
  <c r="H383" i="1"/>
  <c r="H514" i="1" s="1"/>
  <c r="H899" i="1"/>
  <c r="F895" i="1"/>
  <c r="F903" i="1" s="1"/>
  <c r="F925" i="1"/>
  <c r="F924" i="1" s="1"/>
  <c r="G903" i="1"/>
  <c r="G925" i="1"/>
  <c r="G924" i="1" s="1"/>
  <c r="I786" i="1"/>
  <c r="I787" i="1" s="1"/>
  <c r="I783" i="1"/>
  <c r="G383" i="1"/>
  <c r="G514" i="1" s="1"/>
  <c r="I899" i="1"/>
  <c r="I474" i="1"/>
  <c r="I324" i="1"/>
  <c r="I479" i="1" s="1"/>
  <c r="G119" i="1"/>
  <c r="I124" i="1"/>
  <c r="F141" i="1" a="1"/>
  <c r="F141" i="1" s="1"/>
  <c r="H125" i="1"/>
  <c r="I318" i="1"/>
  <c r="I473" i="1" s="1"/>
  <c r="F325" i="1"/>
  <c r="F480" i="1" s="1"/>
  <c r="G364" i="1"/>
  <c r="H120" i="1"/>
  <c r="F126" i="1"/>
  <c r="H319" i="1"/>
  <c r="H474" i="1" s="1"/>
  <c r="I325" i="1"/>
  <c r="I480" i="1" s="1"/>
  <c r="G902" i="1"/>
  <c r="I903" i="1"/>
  <c r="G241" i="1"/>
  <c r="G316" i="1" s="1"/>
  <c r="G471" i="1" s="1"/>
  <c r="H314" i="1"/>
  <c r="H419" i="1" s="1"/>
  <c r="F726" i="1" a="1"/>
  <c r="F726" i="1" s="1"/>
  <c r="F728" i="1" s="1" a="1"/>
  <c r="F728" i="1" s="1"/>
  <c r="I128" i="1"/>
  <c r="I362" i="1"/>
  <c r="I429" i="1" s="1"/>
  <c r="I241" i="1"/>
  <c r="I316" i="1" s="1"/>
  <c r="I471" i="1" s="1"/>
  <c r="G400" i="1"/>
  <c r="G520" i="1" s="1"/>
  <c r="H726" i="1" a="1"/>
  <c r="H726" i="1" s="1"/>
  <c r="H728" i="1" s="1" a="1"/>
  <c r="H728" i="1" s="1"/>
  <c r="G129" i="1"/>
  <c r="G363" i="1"/>
  <c r="G504" i="1" s="1"/>
  <c r="I400" i="1"/>
  <c r="I520" i="1" s="1"/>
  <c r="I925" i="1"/>
  <c r="I924" i="1" s="1"/>
  <c r="G301" i="1"/>
  <c r="G465" i="1" s="1"/>
  <c r="G140" i="1" a="1"/>
  <c r="G140" i="1" s="1"/>
  <c r="G382" i="1"/>
  <c r="G513" i="1" s="1"/>
  <c r="G198" i="1"/>
  <c r="G361" i="1" s="1"/>
  <c r="G428" i="1" s="1"/>
  <c r="F742" i="1" a="1"/>
  <c r="F742" i="1" s="1"/>
  <c r="F744" i="1" s="1" a="1"/>
  <c r="F744" i="1" s="1"/>
  <c r="G314" i="1"/>
  <c r="G419" i="1" s="1"/>
  <c r="G319" i="1"/>
  <c r="G474" i="1" s="1"/>
  <c r="G128" i="1"/>
  <c r="G324" i="1"/>
  <c r="G479" i="1" s="1"/>
  <c r="I118" i="1"/>
  <c r="G124" i="1"/>
  <c r="G742" i="1" a="1"/>
  <c r="G742" i="1" s="1"/>
  <c r="G744" i="1" s="1" a="1"/>
  <c r="G744" i="1" s="1"/>
  <c r="F899" i="1" l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492" i="1" a="1"/>
  <c r="K1492" i="1" s="1"/>
  <c r="K1501" i="1" a="1"/>
  <c r="K1501" i="1" s="1"/>
  <c r="J1501" i="1" a="1"/>
  <c r="J1501" i="1" s="1"/>
  <c r="K1494" i="1" a="1"/>
  <c r="K1494" i="1" s="1"/>
  <c r="L1500" i="1" a="1"/>
  <c r="L1500" i="1" s="1"/>
  <c r="J1494" i="1" a="1"/>
  <c r="J1494" i="1" s="1"/>
  <c r="L1492" i="1" a="1"/>
  <c r="L1492" i="1" s="1"/>
  <c r="K1500" i="1" a="1"/>
  <c r="K1500" i="1" s="1"/>
  <c r="J1500" i="1" a="1"/>
  <c r="J1500" i="1" s="1"/>
  <c r="L1499" i="1" a="1"/>
  <c r="L1499" i="1" s="1"/>
  <c r="K1499" i="1" a="1"/>
  <c r="K1499" i="1" s="1"/>
  <c r="J1499" i="1" a="1"/>
  <c r="J1499" i="1" s="1"/>
  <c r="L1494" i="1" a="1"/>
  <c r="L1494" i="1" s="1"/>
  <c r="J1492" i="1" a="1"/>
  <c r="J1492" i="1" s="1"/>
  <c r="L1487" i="1" a="1"/>
  <c r="L1487" i="1" s="1"/>
  <c r="K1487" i="1" a="1"/>
  <c r="K1487" i="1" s="1"/>
  <c r="J1487" i="1" a="1"/>
  <c r="J1487" i="1" s="1"/>
  <c r="L1485" i="1" a="1"/>
  <c r="L1485" i="1" s="1"/>
  <c r="K1485" i="1" a="1"/>
  <c r="K1485" i="1" s="1"/>
  <c r="J1485" i="1" a="1"/>
  <c r="J1485" i="1" s="1"/>
  <c r="J1450" i="1" a="1"/>
  <c r="J1450" i="1" s="1"/>
  <c r="L1453" i="1" a="1"/>
  <c r="L1453" i="1" s="1"/>
  <c r="L1457" i="1" a="1"/>
  <c r="L1457" i="1" s="1"/>
  <c r="K1457" i="1" a="1"/>
  <c r="K1457" i="1" s="1"/>
  <c r="J1451" i="1" a="1"/>
  <c r="J1451" i="1" s="1"/>
  <c r="K1450" i="1" a="1"/>
  <c r="K1450" i="1" s="1"/>
  <c r="K1453" i="1" a="1"/>
  <c r="K1453" i="1" s="1"/>
  <c r="L1454" i="1" a="1"/>
  <c r="L1454" i="1" s="1"/>
  <c r="L1451" i="1" a="1"/>
  <c r="L1451" i="1" s="1"/>
  <c r="L1455" i="1" a="1"/>
  <c r="L1455" i="1" s="1"/>
  <c r="J1452" i="1" a="1"/>
  <c r="J1452" i="1" s="1"/>
  <c r="K1454" i="1" a="1"/>
  <c r="K1454" i="1" s="1"/>
  <c r="L1458" i="1" a="1"/>
  <c r="L1458" i="1" s="1"/>
  <c r="K1458" i="1" a="1"/>
  <c r="K1458" i="1" s="1"/>
  <c r="L1452" i="1" a="1"/>
  <c r="L1452" i="1" s="1"/>
  <c r="K1451" i="1" a="1"/>
  <c r="K1451" i="1" s="1"/>
  <c r="J1458" i="1" a="1"/>
  <c r="J1458" i="1" s="1"/>
  <c r="J1457" i="1" a="1"/>
  <c r="J1457" i="1" s="1"/>
  <c r="L1456" i="1" a="1"/>
  <c r="L1456" i="1" s="1"/>
  <c r="J1455" i="1" a="1"/>
  <c r="J1455" i="1" s="1"/>
  <c r="K1456" i="1" a="1"/>
  <c r="K1456" i="1" s="1"/>
  <c r="K1455" i="1" a="1"/>
  <c r="K1455" i="1" s="1"/>
  <c r="L1450" i="1" a="1"/>
  <c r="L1450" i="1" s="1"/>
  <c r="K1452" i="1" a="1"/>
  <c r="K1452" i="1" s="1"/>
  <c r="J1454" i="1" a="1"/>
  <c r="J1454" i="1" s="1"/>
  <c r="J1453" i="1" a="1"/>
  <c r="J1453" i="1" s="1"/>
  <c r="J1456" i="1" a="1"/>
  <c r="J1456" i="1" s="1"/>
  <c r="K1445" i="1" a="1"/>
  <c r="K1445" i="1" s="1"/>
  <c r="L1447" i="1" a="1"/>
  <c r="L1447" i="1" s="1"/>
  <c r="J1446" i="1" a="1"/>
  <c r="J1446" i="1" s="1"/>
  <c r="J1445" i="1" a="1"/>
  <c r="J1445" i="1" s="1"/>
  <c r="K1441" i="1" a="1"/>
  <c r="K1441" i="1" s="1"/>
  <c r="K1442" i="1" a="1"/>
  <c r="K1442" i="1" s="1"/>
  <c r="L1443" i="1" a="1"/>
  <c r="L1443" i="1" s="1"/>
  <c r="L1448" i="1" a="1"/>
  <c r="L1448" i="1" s="1"/>
  <c r="K1447" i="1" a="1"/>
  <c r="K1447" i="1" s="1"/>
  <c r="L1445" i="1" a="1"/>
  <c r="L1445" i="1" s="1"/>
  <c r="J1443" i="1" a="1"/>
  <c r="J1443" i="1" s="1"/>
  <c r="L1442" i="1" a="1"/>
  <c r="L1442" i="1" s="1"/>
  <c r="L1444" i="1" a="1"/>
  <c r="L1444" i="1" s="1"/>
  <c r="L1441" i="1" a="1"/>
  <c r="L1441" i="1" s="1"/>
  <c r="J1444" i="1" a="1"/>
  <c r="J1444" i="1" s="1"/>
  <c r="L1449" i="1" a="1"/>
  <c r="L1449" i="1" s="1"/>
  <c r="J1442" i="1" a="1"/>
  <c r="J1442" i="1" s="1"/>
  <c r="K1449" i="1" a="1"/>
  <c r="K1449" i="1" s="1"/>
  <c r="K1443" i="1" a="1"/>
  <c r="K1443" i="1" s="1"/>
  <c r="J1449" i="1" a="1"/>
  <c r="J1449" i="1" s="1"/>
  <c r="K1448" i="1" a="1"/>
  <c r="K1448" i="1" s="1"/>
  <c r="J1448" i="1" a="1"/>
  <c r="J1448" i="1" s="1"/>
  <c r="K1444" i="1" a="1"/>
  <c r="K1444" i="1" s="1"/>
  <c r="J1447" i="1" a="1"/>
  <c r="J1447" i="1" s="1"/>
  <c r="L1446" i="1" a="1"/>
  <c r="L1446" i="1" s="1"/>
  <c r="K1446" i="1" a="1"/>
  <c r="K1446" i="1" s="1"/>
  <c r="J1441" i="1" a="1"/>
  <c r="J1441" i="1" s="1"/>
  <c r="K1438" i="1" a="1"/>
  <c r="K1438" i="1" s="1"/>
  <c r="K1437" i="1" a="1"/>
  <c r="K1437" i="1" s="1"/>
  <c r="J1438" i="1" a="1"/>
  <c r="J1438" i="1" s="1"/>
  <c r="J1437" i="1" a="1"/>
  <c r="J1437" i="1" s="1"/>
  <c r="L1436" i="1" a="1"/>
  <c r="L1436" i="1" s="1"/>
  <c r="K1436" i="1" a="1"/>
  <c r="K1436" i="1" s="1"/>
  <c r="L1439" i="1" a="1"/>
  <c r="L1439" i="1" s="1"/>
  <c r="L1432" i="1" a="1"/>
  <c r="L1432" i="1" s="1"/>
  <c r="K1439" i="1" a="1"/>
  <c r="K1439" i="1" s="1"/>
  <c r="J1433" i="1" a="1"/>
  <c r="J1433" i="1" s="1"/>
  <c r="J1439" i="1" a="1"/>
  <c r="J1439" i="1" s="1"/>
  <c r="K1434" i="1" a="1"/>
  <c r="K1434" i="1" s="1"/>
  <c r="K1433" i="1" a="1"/>
  <c r="K1433" i="1" s="1"/>
  <c r="K1432" i="1" a="1"/>
  <c r="K1432" i="1" s="1"/>
  <c r="L1438" i="1" a="1"/>
  <c r="L1438" i="1" s="1"/>
  <c r="L1437" i="1" a="1"/>
  <c r="L1437" i="1" s="1"/>
  <c r="L1434" i="1" a="1"/>
  <c r="L1434" i="1" s="1"/>
  <c r="L1440" i="1" a="1"/>
  <c r="L1440" i="1" s="1"/>
  <c r="K1440" i="1" a="1"/>
  <c r="K1440" i="1" s="1"/>
  <c r="J1440" i="1" a="1"/>
  <c r="J1440" i="1" s="1"/>
  <c r="J1436" i="1" a="1"/>
  <c r="J1436" i="1" s="1"/>
  <c r="J1434" i="1" a="1"/>
  <c r="J1434" i="1" s="1"/>
  <c r="J1432" i="1" a="1"/>
  <c r="J1432" i="1" s="1"/>
  <c r="L1433" i="1" a="1"/>
  <c r="L1433" i="1" s="1"/>
  <c r="J1423" i="1" a="1"/>
  <c r="J1423" i="1" s="1"/>
  <c r="K1421" i="1" a="1"/>
  <c r="K1421" i="1" s="1"/>
  <c r="J1431" i="1" a="1"/>
  <c r="J1431" i="1" s="1"/>
  <c r="L1430" i="1" a="1"/>
  <c r="L1430" i="1" s="1"/>
  <c r="K1430" i="1" a="1"/>
  <c r="K1430" i="1" s="1"/>
  <c r="J1421" i="1" a="1"/>
  <c r="J1421" i="1" s="1"/>
  <c r="L1431" i="1" a="1"/>
  <c r="L1431" i="1" s="1"/>
  <c r="L1423" i="1" a="1"/>
  <c r="L1423" i="1" s="1"/>
  <c r="K1431" i="1" a="1"/>
  <c r="K1431" i="1" s="1"/>
  <c r="J1424" i="1" a="1"/>
  <c r="J1424" i="1" s="1"/>
  <c r="K1423" i="1" a="1"/>
  <c r="K1423" i="1" s="1"/>
  <c r="J1430" i="1" a="1"/>
  <c r="J1430" i="1" s="1"/>
  <c r="J1422" i="1" a="1"/>
  <c r="J1422" i="1" s="1"/>
  <c r="L1422" i="1" a="1"/>
  <c r="L1422" i="1" s="1"/>
  <c r="L1421" i="1" a="1"/>
  <c r="L1421" i="1" s="1"/>
  <c r="L1424" i="1" a="1"/>
  <c r="L1424" i="1" s="1"/>
  <c r="K1424" i="1" a="1"/>
  <c r="K1424" i="1" s="1"/>
  <c r="K1422" i="1" a="1"/>
  <c r="K1422" i="1" s="1"/>
  <c r="K1416" i="1" a="1"/>
  <c r="K1416" i="1" s="1"/>
  <c r="L1418" i="1" a="1"/>
  <c r="L1418" i="1" s="1"/>
  <c r="K1418" i="1" a="1"/>
  <c r="K1418" i="1" s="1"/>
  <c r="J1418" i="1" a="1"/>
  <c r="J1418" i="1" s="1"/>
  <c r="L1410" i="1" a="1"/>
  <c r="L1410" i="1" s="1"/>
  <c r="L1409" i="1" a="1"/>
  <c r="L1409" i="1" s="1"/>
  <c r="K1410" i="1" a="1"/>
  <c r="K1410" i="1" s="1"/>
  <c r="L1416" i="1" a="1"/>
  <c r="L1416" i="1" s="1"/>
  <c r="J1409" i="1" a="1"/>
  <c r="J1409" i="1" s="1"/>
  <c r="J1416" i="1" a="1"/>
  <c r="J1416" i="1" s="1"/>
  <c r="L1420" i="1" a="1"/>
  <c r="L1420" i="1" s="1"/>
  <c r="K1420" i="1" a="1"/>
  <c r="K1420" i="1" s="1"/>
  <c r="L1417" i="1" a="1"/>
  <c r="L1417" i="1" s="1"/>
  <c r="J1420" i="1" a="1"/>
  <c r="J1420" i="1" s="1"/>
  <c r="K1417" i="1" a="1"/>
  <c r="K1417" i="1" s="1"/>
  <c r="J1410" i="1" a="1"/>
  <c r="J1410" i="1" s="1"/>
  <c r="K1409" i="1" a="1"/>
  <c r="K1409" i="1" s="1"/>
  <c r="J1417" i="1" a="1"/>
  <c r="J1417" i="1" s="1"/>
  <c r="L1419" i="1" a="1"/>
  <c r="L1419" i="1" s="1"/>
  <c r="J1419" i="1" a="1"/>
  <c r="J1419" i="1" s="1"/>
  <c r="K1419" i="1" a="1"/>
  <c r="K1419" i="1" s="1"/>
  <c r="L1403" i="1" a="1"/>
  <c r="L1403" i="1" s="1"/>
  <c r="L1404" i="1" a="1"/>
  <c r="L1404" i="1" s="1"/>
  <c r="K1404" i="1" a="1"/>
  <c r="K1404" i="1" s="1"/>
  <c r="J1404" i="1" a="1"/>
  <c r="J1404" i="1" s="1"/>
  <c r="J1405" i="1" a="1"/>
  <c r="J1405" i="1" s="1"/>
  <c r="J1402" i="1" a="1"/>
  <c r="J1402" i="1" s="1"/>
  <c r="J1403" i="1" a="1"/>
  <c r="J1403" i="1" s="1"/>
  <c r="K1403" i="1" a="1"/>
  <c r="K1403" i="1" s="1"/>
  <c r="J1401" i="1" a="1"/>
  <c r="J1401" i="1" s="1"/>
  <c r="K1401" i="1" a="1"/>
  <c r="K1401" i="1" s="1"/>
  <c r="K1402" i="1" a="1"/>
  <c r="K1402" i="1" s="1"/>
  <c r="L1408" i="1" a="1"/>
  <c r="L1408" i="1" s="1"/>
  <c r="J1407" i="1" a="1"/>
  <c r="J1407" i="1" s="1"/>
  <c r="K1408" i="1" a="1"/>
  <c r="K1408" i="1" s="1"/>
  <c r="J1408" i="1" a="1"/>
  <c r="J1408" i="1" s="1"/>
  <c r="L1401" i="1" a="1"/>
  <c r="L1401" i="1" s="1"/>
  <c r="L1402" i="1" a="1"/>
  <c r="L1402" i="1" s="1"/>
  <c r="L1407" i="1" a="1"/>
  <c r="L1407" i="1" s="1"/>
  <c r="L1405" i="1" a="1"/>
  <c r="L1405" i="1" s="1"/>
  <c r="K1405" i="1" a="1"/>
  <c r="K1405" i="1" s="1"/>
  <c r="K1407" i="1" a="1"/>
  <c r="K1407" i="1" s="1"/>
  <c r="K1373" i="1" a="1"/>
  <c r="K1373" i="1" s="1"/>
  <c r="J1373" i="1" a="1"/>
  <c r="J1373" i="1" s="1"/>
  <c r="K1374" i="1" a="1"/>
  <c r="K1374" i="1" s="1"/>
  <c r="L1374" i="1" a="1"/>
  <c r="L1374" i="1" s="1"/>
  <c r="J1374" i="1" a="1"/>
  <c r="J1374" i="1" s="1"/>
  <c r="L1373" i="1" a="1"/>
  <c r="L1373" i="1" s="1"/>
  <c r="J1366" i="1" a="1"/>
  <c r="J1366" i="1" s="1"/>
  <c r="J1364" i="1" a="1"/>
  <c r="J1364" i="1" s="1"/>
  <c r="K1371" i="1" a="1"/>
  <c r="K1371" i="1" s="1"/>
  <c r="L1370" i="1" a="1"/>
  <c r="L1370" i="1" s="1"/>
  <c r="J1367" i="1" a="1"/>
  <c r="J1367" i="1" s="1"/>
  <c r="L1365" i="1" a="1"/>
  <c r="L1365" i="1" s="1"/>
  <c r="L1369" i="1" a="1"/>
  <c r="L1369" i="1" s="1"/>
  <c r="L1367" i="1" a="1"/>
  <c r="L1367" i="1" s="1"/>
  <c r="L1372" i="1" a="1"/>
  <c r="L1372" i="1" s="1"/>
  <c r="L1364" i="1" a="1"/>
  <c r="L1364" i="1" s="1"/>
  <c r="K1372" i="1" a="1"/>
  <c r="K1372" i="1" s="1"/>
  <c r="K1369" i="1" a="1"/>
  <c r="K1369" i="1" s="1"/>
  <c r="J1369" i="1" a="1"/>
  <c r="J1369" i="1" s="1"/>
  <c r="J1371" i="1" a="1"/>
  <c r="J1371" i="1" s="1"/>
  <c r="J1365" i="1" a="1"/>
  <c r="J1365" i="1" s="1"/>
  <c r="J1372" i="1" a="1"/>
  <c r="J1372" i="1" s="1"/>
  <c r="K1365" i="1" a="1"/>
  <c r="K1365" i="1" s="1"/>
  <c r="K1370" i="1" a="1"/>
  <c r="K1370" i="1" s="1"/>
  <c r="L1366" i="1" a="1"/>
  <c r="L1366" i="1" s="1"/>
  <c r="K1364" i="1" a="1"/>
  <c r="K1364" i="1" s="1"/>
  <c r="L1371" i="1" a="1"/>
  <c r="L1371" i="1" s="1"/>
  <c r="J1370" i="1" a="1"/>
  <c r="J1370" i="1" s="1"/>
  <c r="L1368" i="1" a="1"/>
  <c r="L1368" i="1" s="1"/>
  <c r="J1368" i="1" a="1"/>
  <c r="J1368" i="1" s="1"/>
  <c r="K1368" i="1" a="1"/>
  <c r="K1368" i="1" s="1"/>
  <c r="K1367" i="1" a="1"/>
  <c r="K1367" i="1" s="1"/>
  <c r="K1366" i="1" a="1"/>
  <c r="K1366" i="1" s="1"/>
  <c r="K1355" i="1" a="1"/>
  <c r="K1355" i="1" s="1"/>
  <c r="J1357" i="1" a="1"/>
  <c r="J1357" i="1" s="1"/>
  <c r="K1362" i="1" a="1"/>
  <c r="K1362" i="1" s="1"/>
  <c r="J1360" i="1" a="1"/>
  <c r="J1360" i="1" s="1"/>
  <c r="L1361" i="1" a="1"/>
  <c r="L1361" i="1" s="1"/>
  <c r="J1355" i="1" a="1"/>
  <c r="J1355" i="1" s="1"/>
  <c r="K1361" i="1" a="1"/>
  <c r="K1361" i="1" s="1"/>
  <c r="K1360" i="1" a="1"/>
  <c r="K1360" i="1" s="1"/>
  <c r="J1356" i="1" a="1"/>
  <c r="J1356" i="1" s="1"/>
  <c r="J1359" i="1" a="1"/>
  <c r="J1359" i="1" s="1"/>
  <c r="K1358" i="1" a="1"/>
  <c r="K1358" i="1" s="1"/>
  <c r="J1361" i="1" a="1"/>
  <c r="J1361" i="1" s="1"/>
  <c r="L1363" i="1" a="1"/>
  <c r="L1363" i="1" s="1"/>
  <c r="K1363" i="1" a="1"/>
  <c r="K1363" i="1" s="1"/>
  <c r="J1363" i="1" a="1"/>
  <c r="J1363" i="1" s="1"/>
  <c r="L1362" i="1" a="1"/>
  <c r="L1362" i="1" s="1"/>
  <c r="J1362" i="1" a="1"/>
  <c r="J1362" i="1" s="1"/>
  <c r="L1359" i="1" a="1"/>
  <c r="L1359" i="1" s="1"/>
  <c r="L1355" i="1" a="1"/>
  <c r="L1355" i="1" s="1"/>
  <c r="K1356" i="1" a="1"/>
  <c r="K1356" i="1" s="1"/>
  <c r="L1356" i="1" a="1"/>
  <c r="L1356" i="1" s="1"/>
  <c r="L1357" i="1" a="1"/>
  <c r="L1357" i="1" s="1"/>
  <c r="L1360" i="1" a="1"/>
  <c r="L1360" i="1" s="1"/>
  <c r="L1358" i="1" a="1"/>
  <c r="L1358" i="1" s="1"/>
  <c r="K1359" i="1" a="1"/>
  <c r="K1359" i="1" s="1"/>
  <c r="J1358" i="1" a="1"/>
  <c r="J1358" i="1" s="1"/>
  <c r="K1357" i="1" a="1"/>
  <c r="K1357" i="1" s="1"/>
  <c r="L1350" i="1" a="1"/>
  <c r="L1350" i="1" s="1"/>
  <c r="K1346" i="1" a="1"/>
  <c r="K1346" i="1" s="1"/>
  <c r="K1347" i="1" a="1"/>
  <c r="K1347" i="1" s="1"/>
  <c r="L1349" i="1" a="1"/>
  <c r="L1349" i="1" s="1"/>
  <c r="J1347" i="1" a="1"/>
  <c r="J1347" i="1" s="1"/>
  <c r="L1346" i="1" a="1"/>
  <c r="L1346" i="1" s="1"/>
  <c r="J1350" i="1" a="1"/>
  <c r="J1350" i="1" s="1"/>
  <c r="K1352" i="1" a="1"/>
  <c r="K1352" i="1" s="1"/>
  <c r="J1352" i="1" a="1"/>
  <c r="J1352" i="1" s="1"/>
  <c r="K1350" i="1" a="1"/>
  <c r="K1350" i="1" s="1"/>
  <c r="J1346" i="1" a="1"/>
  <c r="J1346" i="1" s="1"/>
  <c r="L1354" i="1" a="1"/>
  <c r="L1354" i="1" s="1"/>
  <c r="K1354" i="1" a="1"/>
  <c r="K1354" i="1" s="1"/>
  <c r="J1354" i="1" a="1"/>
  <c r="J1354" i="1" s="1"/>
  <c r="J1348" i="1" a="1"/>
  <c r="J1348" i="1" s="1"/>
  <c r="J1349" i="1" a="1"/>
  <c r="J1349" i="1" s="1"/>
  <c r="L1352" i="1" a="1"/>
  <c r="L1352" i="1" s="1"/>
  <c r="K1349" i="1" a="1"/>
  <c r="K1349" i="1" s="1"/>
  <c r="K1348" i="1" a="1"/>
  <c r="K1348" i="1" s="1"/>
  <c r="L1348" i="1" a="1"/>
  <c r="L1348" i="1" s="1"/>
  <c r="L1347" i="1" a="1"/>
  <c r="L1347" i="1" s="1"/>
  <c r="L1353" i="1" a="1"/>
  <c r="L1353" i="1" s="1"/>
  <c r="K1353" i="1" a="1"/>
  <c r="K1353" i="1" s="1"/>
  <c r="J1353" i="1" a="1"/>
  <c r="J1353" i="1" s="1"/>
  <c r="J1338" i="1" a="1"/>
  <c r="J1338" i="1" s="1"/>
  <c r="K1335" i="1" a="1"/>
  <c r="K1335" i="1" s="1"/>
  <c r="L1337" i="1" a="1"/>
  <c r="L1337" i="1" s="1"/>
  <c r="K1339" i="1" a="1"/>
  <c r="K1339" i="1" s="1"/>
  <c r="J1335" i="1" a="1"/>
  <c r="J1335" i="1" s="1"/>
  <c r="J1334" i="1" a="1"/>
  <c r="J1334" i="1" s="1"/>
  <c r="K1337" i="1" a="1"/>
  <c r="K1337" i="1" s="1"/>
  <c r="L1334" i="1" a="1"/>
  <c r="L1334" i="1" s="1"/>
  <c r="K1336" i="1" a="1"/>
  <c r="K1336" i="1" s="1"/>
  <c r="K1338" i="1" a="1"/>
  <c r="K1338" i="1" s="1"/>
  <c r="J1337" i="1" a="1"/>
  <c r="J1337" i="1" s="1"/>
  <c r="L1340" i="1" a="1"/>
  <c r="L1340" i="1" s="1"/>
  <c r="L1336" i="1" a="1"/>
  <c r="L1336" i="1" s="1"/>
  <c r="J1336" i="1" a="1"/>
  <c r="J1336" i="1" s="1"/>
  <c r="K1340" i="1" a="1"/>
  <c r="K1340" i="1" s="1"/>
  <c r="J1340" i="1" a="1"/>
  <c r="J1340" i="1" s="1"/>
  <c r="K1334" i="1" a="1"/>
  <c r="K1334" i="1" s="1"/>
  <c r="L1338" i="1" a="1"/>
  <c r="L1338" i="1" s="1"/>
  <c r="L1335" i="1" a="1"/>
  <c r="L1335" i="1" s="1"/>
  <c r="L1333" i="1" a="1"/>
  <c r="L1333" i="1" s="1"/>
  <c r="L1339" i="1" a="1"/>
  <c r="L1339" i="1" s="1"/>
  <c r="J1339" i="1" a="1"/>
  <c r="J1339" i="1" s="1"/>
  <c r="K1326" i="1" a="1"/>
  <c r="K1326" i="1" s="1"/>
  <c r="J1326" i="1" a="1"/>
  <c r="J1326" i="1" s="1"/>
  <c r="K1324" i="1" a="1"/>
  <c r="K1324" i="1" s="1"/>
  <c r="K1325" i="1" a="1"/>
  <c r="K1325" i="1" s="1"/>
  <c r="J1325" i="1" a="1"/>
  <c r="J1325" i="1" s="1"/>
  <c r="K1333" i="1" a="1"/>
  <c r="K1333" i="1" s="1"/>
  <c r="J1333" i="1" a="1"/>
  <c r="J1333" i="1" s="1"/>
  <c r="L1326" i="1" a="1"/>
  <c r="L1326" i="1" s="1"/>
  <c r="L1325" i="1" a="1"/>
  <c r="L1325" i="1" s="1"/>
  <c r="L1321" i="1" a="1"/>
  <c r="L1321" i="1" s="1"/>
  <c r="L1332" i="1" a="1"/>
  <c r="L1332" i="1" s="1"/>
  <c r="K1332" i="1" a="1"/>
  <c r="K1332" i="1" s="1"/>
  <c r="J1332" i="1" a="1"/>
  <c r="J1332" i="1" s="1"/>
  <c r="K1323" i="1" a="1"/>
  <c r="K1323" i="1" s="1"/>
  <c r="J1321" i="1" a="1"/>
  <c r="J1321" i="1" s="1"/>
  <c r="L1323" i="1" a="1"/>
  <c r="L1323" i="1" s="1"/>
  <c r="K1321" i="1" a="1"/>
  <c r="K1321" i="1" s="1"/>
  <c r="L1324" i="1" a="1"/>
  <c r="L1324" i="1" s="1"/>
  <c r="J1324" i="1" a="1"/>
  <c r="J1324" i="1" s="1"/>
  <c r="J1323" i="1" a="1"/>
  <c r="J1323" i="1" s="1"/>
  <c r="K1317" i="1" a="1"/>
  <c r="K1317" i="1" s="1"/>
  <c r="L1317" i="1" a="1"/>
  <c r="L1317" i="1" s="1"/>
  <c r="J1317" i="1" a="1"/>
  <c r="J1317" i="1" s="1"/>
  <c r="J1320" i="1" a="1"/>
  <c r="J1320" i="1" s="1"/>
  <c r="K1319" i="1" a="1"/>
  <c r="K1319" i="1" s="1"/>
  <c r="L1320" i="1" a="1"/>
  <c r="L1320" i="1" s="1"/>
  <c r="K1320" i="1" a="1"/>
  <c r="K1320" i="1" s="1"/>
  <c r="K1318" i="1" a="1"/>
  <c r="K1318" i="1" s="1"/>
  <c r="J1319" i="1" a="1"/>
  <c r="J1319" i="1" s="1"/>
  <c r="L1318" i="1" a="1"/>
  <c r="L1318" i="1" s="1"/>
  <c r="L1319" i="1" a="1"/>
  <c r="L1319" i="1" s="1"/>
  <c r="J1318" i="1" a="1"/>
  <c r="J1318" i="1" s="1"/>
  <c r="K1263" i="1" a="1"/>
  <c r="K1263" i="1" s="1"/>
  <c r="J1263" i="1" a="1"/>
  <c r="J1263" i="1" s="1"/>
  <c r="L1263" i="1" a="1"/>
  <c r="L1263" i="1" s="1"/>
  <c r="L1262" i="1" a="1"/>
  <c r="L1262" i="1" s="1"/>
  <c r="K1262" i="1" a="1"/>
  <c r="K1262" i="1" s="1"/>
  <c r="L1261" i="1" a="1"/>
  <c r="L1261" i="1" s="1"/>
  <c r="J1262" i="1" a="1"/>
  <c r="J1262" i="1" s="1"/>
  <c r="K1261" i="1" a="1"/>
  <c r="K1261" i="1" s="1"/>
  <c r="L1257" i="1" a="1"/>
  <c r="L1257" i="1" s="1"/>
  <c r="K1257" i="1" a="1"/>
  <c r="K1257" i="1" s="1"/>
  <c r="K1256" i="1" a="1"/>
  <c r="K1256" i="1" s="1"/>
  <c r="L1255" i="1" a="1"/>
  <c r="L1255" i="1" s="1"/>
  <c r="J1256" i="1" a="1"/>
  <c r="J1256" i="1" s="1"/>
  <c r="K1252" i="1" a="1"/>
  <c r="K1252" i="1" s="1"/>
  <c r="J1255" i="1" a="1"/>
  <c r="J1255" i="1" s="1"/>
  <c r="L1253" i="1" a="1"/>
  <c r="L1253" i="1" s="1"/>
  <c r="J1254" i="1" a="1"/>
  <c r="J1254" i="1" s="1"/>
  <c r="L1252" i="1" a="1"/>
  <c r="L1252" i="1" s="1"/>
  <c r="J1257" i="1" a="1"/>
  <c r="J1257" i="1" s="1"/>
  <c r="K1253" i="1" a="1"/>
  <c r="K1253" i="1" s="1"/>
  <c r="J1261" i="1" a="1"/>
  <c r="J1261" i="1" s="1"/>
  <c r="L1254" i="1" a="1"/>
  <c r="L1254" i="1" s="1"/>
  <c r="L1260" i="1" a="1"/>
  <c r="L1260" i="1" s="1"/>
  <c r="K1260" i="1" a="1"/>
  <c r="K1260" i="1" s="1"/>
  <c r="J1260" i="1" a="1"/>
  <c r="J1260" i="1" s="1"/>
  <c r="K1258" i="1" a="1"/>
  <c r="K1258" i="1" s="1"/>
  <c r="J1252" i="1" a="1"/>
  <c r="J1252" i="1" s="1"/>
  <c r="L1259" i="1" a="1"/>
  <c r="L1259" i="1" s="1"/>
  <c r="K1259" i="1" a="1"/>
  <c r="K1259" i="1" s="1"/>
  <c r="J1259" i="1" a="1"/>
  <c r="J1259" i="1" s="1"/>
  <c r="L1258" i="1" a="1"/>
  <c r="L1258" i="1" s="1"/>
  <c r="J1258" i="1" a="1"/>
  <c r="J1258" i="1" s="1"/>
  <c r="J1253" i="1" a="1"/>
  <c r="J1253" i="1" s="1"/>
  <c r="K1254" i="1" a="1"/>
  <c r="K1254" i="1" s="1"/>
  <c r="L1256" i="1" a="1"/>
  <c r="L1256" i="1" s="1"/>
  <c r="K1255" i="1" a="1"/>
  <c r="K1255" i="1" s="1"/>
  <c r="J1247" i="1" a="1"/>
  <c r="J1247" i="1" s="1"/>
  <c r="L1246" i="1" a="1"/>
  <c r="L1246" i="1" s="1"/>
  <c r="J1244" i="1" a="1"/>
  <c r="J1244" i="1" s="1"/>
  <c r="J1243" i="1" a="1"/>
  <c r="J1243" i="1" s="1"/>
  <c r="J1248" i="1" a="1"/>
  <c r="J1248" i="1" s="1"/>
  <c r="K1248" i="1" a="1"/>
  <c r="K1248" i="1" s="1"/>
  <c r="K1247" i="1" a="1"/>
  <c r="K1247" i="1" s="1"/>
  <c r="K1246" i="1" a="1"/>
  <c r="K1246" i="1" s="1"/>
  <c r="L1248" i="1" a="1"/>
  <c r="L1248" i="1" s="1"/>
  <c r="L1245" i="1" a="1"/>
  <c r="L1245" i="1" s="1"/>
  <c r="L1244" i="1" a="1"/>
  <c r="L1244" i="1" s="1"/>
  <c r="K1245" i="1" a="1"/>
  <c r="K1245" i="1" s="1"/>
  <c r="J1250" i="1" a="1"/>
  <c r="J1250" i="1" s="1"/>
  <c r="K1250" i="1" a="1"/>
  <c r="K1250" i="1" s="1"/>
  <c r="K1243" i="1" a="1"/>
  <c r="K1243" i="1" s="1"/>
  <c r="J1249" i="1" a="1"/>
  <c r="J1249" i="1" s="1"/>
  <c r="L1249" i="1" a="1"/>
  <c r="L1249" i="1" s="1"/>
  <c r="L1251" i="1" a="1"/>
  <c r="L1251" i="1" s="1"/>
  <c r="K1251" i="1" a="1"/>
  <c r="K1251" i="1" s="1"/>
  <c r="J1251" i="1" a="1"/>
  <c r="J1251" i="1" s="1"/>
  <c r="K1249" i="1" a="1"/>
  <c r="K1249" i="1" s="1"/>
  <c r="L1243" i="1" a="1"/>
  <c r="L1243" i="1" s="1"/>
  <c r="L1247" i="1" a="1"/>
  <c r="L1247" i="1" s="1"/>
  <c r="J1245" i="1" a="1"/>
  <c r="J1245" i="1" s="1"/>
  <c r="J1246" i="1" a="1"/>
  <c r="J1246" i="1" s="1"/>
  <c r="K1244" i="1" a="1"/>
  <c r="K1244" i="1" s="1"/>
  <c r="L1250" i="1" a="1"/>
  <c r="L1250" i="1" s="1"/>
  <c r="K1235" i="1" a="1"/>
  <c r="K1235" i="1" s="1"/>
  <c r="K1238" i="1" a="1"/>
  <c r="K1238" i="1" s="1"/>
  <c r="K1234" i="1" a="1"/>
  <c r="K1234" i="1" s="1"/>
  <c r="J1234" i="1" a="1"/>
  <c r="J1234" i="1" s="1"/>
  <c r="K1240" i="1" a="1"/>
  <c r="K1240" i="1" s="1"/>
  <c r="L1242" i="1" a="1"/>
  <c r="L1242" i="1" s="1"/>
  <c r="K1242" i="1" a="1"/>
  <c r="K1242" i="1" s="1"/>
  <c r="J1236" i="1" a="1"/>
  <c r="J1236" i="1" s="1"/>
  <c r="J1242" i="1" a="1"/>
  <c r="J1242" i="1" s="1"/>
  <c r="L1236" i="1" a="1"/>
  <c r="L1236" i="1" s="1"/>
  <c r="K1236" i="1" a="1"/>
  <c r="K1236" i="1" s="1"/>
  <c r="K1241" i="1" a="1"/>
  <c r="K1241" i="1" s="1"/>
  <c r="L1241" i="1" a="1"/>
  <c r="L1241" i="1" s="1"/>
  <c r="L1234" i="1" a="1"/>
  <c r="L1234" i="1" s="1"/>
  <c r="J1241" i="1" a="1"/>
  <c r="J1241" i="1" s="1"/>
  <c r="L1240" i="1" a="1"/>
  <c r="L1240" i="1" s="1"/>
  <c r="J1239" i="1" a="1"/>
  <c r="J1239" i="1" s="1"/>
  <c r="L1237" i="1" a="1"/>
  <c r="L1237" i="1" s="1"/>
  <c r="J1240" i="1" a="1"/>
  <c r="J1240" i="1" s="1"/>
  <c r="J1235" i="1" a="1"/>
  <c r="J1235" i="1" s="1"/>
  <c r="J1237" i="1" a="1"/>
  <c r="J1237" i="1" s="1"/>
  <c r="L1235" i="1" a="1"/>
  <c r="L1235" i="1" s="1"/>
  <c r="K1237" i="1" a="1"/>
  <c r="K1237" i="1" s="1"/>
  <c r="L1239" i="1" a="1"/>
  <c r="L1239" i="1" s="1"/>
  <c r="K1239" i="1" a="1"/>
  <c r="K1239" i="1" s="1"/>
  <c r="L1238" i="1" a="1"/>
  <c r="L1238" i="1" s="1"/>
  <c r="J1238" i="1" a="1"/>
  <c r="J1238" i="1" s="1"/>
  <c r="J1227" i="1" a="1"/>
  <c r="J1227" i="1" s="1"/>
  <c r="J1232" i="1" a="1"/>
  <c r="J1232" i="1" s="1"/>
  <c r="J1231" i="1" a="1"/>
  <c r="J1231" i="1" s="1"/>
  <c r="K1226" i="1" a="1"/>
  <c r="K1226" i="1" s="1"/>
  <c r="K1230" i="1" a="1"/>
  <c r="K1230" i="1" s="1"/>
  <c r="J1229" i="1" a="1"/>
  <c r="J1229" i="1" s="1"/>
  <c r="J1225" i="1" a="1"/>
  <c r="J1225" i="1" s="1"/>
  <c r="L1232" i="1" a="1"/>
  <c r="L1232" i="1" s="1"/>
  <c r="J1230" i="1" a="1"/>
  <c r="J1230" i="1" s="1"/>
  <c r="K1227" i="1" a="1"/>
  <c r="K1227" i="1" s="1"/>
  <c r="L1231" i="1" a="1"/>
  <c r="L1231" i="1" s="1"/>
  <c r="K1225" i="1" a="1"/>
  <c r="K1225" i="1" s="1"/>
  <c r="K1229" i="1" a="1"/>
  <c r="K1229" i="1" s="1"/>
  <c r="L1229" i="1" a="1"/>
  <c r="L1229" i="1" s="1"/>
  <c r="K1232" i="1" a="1"/>
  <c r="K1232" i="1" s="1"/>
  <c r="L1233" i="1" a="1"/>
  <c r="L1233" i="1" s="1"/>
  <c r="K1233" i="1" a="1"/>
  <c r="K1233" i="1" s="1"/>
  <c r="J1233" i="1" a="1"/>
  <c r="J1233" i="1" s="1"/>
  <c r="K1228" i="1" a="1"/>
  <c r="K1228" i="1" s="1"/>
  <c r="K1231" i="1" a="1"/>
  <c r="K1231" i="1" s="1"/>
  <c r="L1230" i="1" a="1"/>
  <c r="L1230" i="1" s="1"/>
  <c r="J1226" i="1" a="1"/>
  <c r="J1226" i="1" s="1"/>
  <c r="L1225" i="1" a="1"/>
  <c r="L1225" i="1" s="1"/>
  <c r="L1227" i="1" a="1"/>
  <c r="L1227" i="1" s="1"/>
  <c r="L1226" i="1" a="1"/>
  <c r="L1226" i="1" s="1"/>
  <c r="L1228" i="1" a="1"/>
  <c r="L1228" i="1" s="1"/>
  <c r="J1228" i="1" a="1"/>
  <c r="J1228" i="1" s="1"/>
  <c r="L1217" i="1" a="1"/>
  <c r="L1217" i="1" s="1"/>
  <c r="J1216" i="1" a="1"/>
  <c r="J1216" i="1" s="1"/>
  <c r="J1218" i="1" a="1"/>
  <c r="J1218" i="1" s="1"/>
  <c r="K1220" i="1" a="1"/>
  <c r="K1220" i="1" s="1"/>
  <c r="K1219" i="1" a="1"/>
  <c r="K1219" i="1" s="1"/>
  <c r="K1217" i="1" a="1"/>
  <c r="K1217" i="1" s="1"/>
  <c r="L1219" i="1" a="1"/>
  <c r="L1219" i="1" s="1"/>
  <c r="K1218" i="1" a="1"/>
  <c r="K1218" i="1" s="1"/>
  <c r="K1216" i="1" a="1"/>
  <c r="K1216" i="1" s="1"/>
  <c r="L1224" i="1" a="1"/>
  <c r="L1224" i="1" s="1"/>
  <c r="K1224" i="1" a="1"/>
  <c r="K1224" i="1" s="1"/>
  <c r="J1224" i="1" a="1"/>
  <c r="J1224" i="1" s="1"/>
  <c r="L1221" i="1" a="1"/>
  <c r="L1221" i="1" s="1"/>
  <c r="J1220" i="1" a="1"/>
  <c r="J1220" i="1" s="1"/>
  <c r="L1223" i="1" a="1"/>
  <c r="L1223" i="1" s="1"/>
  <c r="K1223" i="1" a="1"/>
  <c r="K1223" i="1" s="1"/>
  <c r="J1223" i="1" a="1"/>
  <c r="J1223" i="1" s="1"/>
  <c r="J1222" i="1" a="1"/>
  <c r="J1222" i="1" s="1"/>
  <c r="L1222" i="1" a="1"/>
  <c r="L1222" i="1" s="1"/>
  <c r="K1222" i="1" a="1"/>
  <c r="K1222" i="1" s="1"/>
  <c r="J1217" i="1" a="1"/>
  <c r="J1217" i="1" s="1"/>
  <c r="L1218" i="1" a="1"/>
  <c r="L1218" i="1" s="1"/>
  <c r="L1216" i="1" a="1"/>
  <c r="L1216" i="1" s="1"/>
  <c r="K1221" i="1" a="1"/>
  <c r="K1221" i="1" s="1"/>
  <c r="J1221" i="1" a="1"/>
  <c r="J1221" i="1" s="1"/>
  <c r="L1220" i="1" a="1"/>
  <c r="L1220" i="1" s="1"/>
  <c r="J1219" i="1" a="1"/>
  <c r="J1219" i="1" s="1"/>
  <c r="L1214" i="1" a="1"/>
  <c r="L1214" i="1" s="1"/>
  <c r="K1214" i="1" a="1"/>
  <c r="K1214" i="1" s="1"/>
  <c r="J1214" i="1" a="1"/>
  <c r="J1214" i="1" s="1"/>
  <c r="J1209" i="1" a="1"/>
  <c r="J1209" i="1" s="1"/>
  <c r="K1210" i="1" a="1"/>
  <c r="K1210" i="1" s="1"/>
  <c r="K1211" i="1" a="1"/>
  <c r="K1211" i="1" s="1"/>
  <c r="L1212" i="1" a="1"/>
  <c r="L1212" i="1" s="1"/>
  <c r="K1208" i="1" a="1"/>
  <c r="K1208" i="1" s="1"/>
  <c r="L1215" i="1" a="1"/>
  <c r="L1215" i="1" s="1"/>
  <c r="K1215" i="1" a="1"/>
  <c r="K1215" i="1" s="1"/>
  <c r="J1215" i="1" a="1"/>
  <c r="J1215" i="1" s="1"/>
  <c r="K1209" i="1" a="1"/>
  <c r="K1209" i="1" s="1"/>
  <c r="L1208" i="1" a="1"/>
  <c r="L1208" i="1" s="1"/>
  <c r="L1209" i="1" a="1"/>
  <c r="L1209" i="1" s="1"/>
  <c r="J1212" i="1" a="1"/>
  <c r="J1212" i="1" s="1"/>
  <c r="L1211" i="1" a="1"/>
  <c r="L1211" i="1" s="1"/>
  <c r="L1210" i="1" a="1"/>
  <c r="L1210" i="1" s="1"/>
  <c r="J1208" i="1" a="1"/>
  <c r="J1208" i="1" s="1"/>
  <c r="K1212" i="1" a="1"/>
  <c r="K1212" i="1" s="1"/>
  <c r="J1211" i="1" a="1"/>
  <c r="J1211" i="1" s="1"/>
  <c r="J1210" i="1" a="1"/>
  <c r="J1210" i="1" s="1"/>
  <c r="L1194" i="1" a="1"/>
  <c r="L1194" i="1" s="1"/>
  <c r="K1198" i="1" a="1"/>
  <c r="K1198" i="1" s="1"/>
  <c r="K1195" i="1" a="1"/>
  <c r="K1195" i="1" s="1"/>
  <c r="L1197" i="1" a="1"/>
  <c r="L1197" i="1" s="1"/>
  <c r="L1195" i="1" a="1"/>
  <c r="L1195" i="1" s="1"/>
  <c r="L1198" i="1" a="1"/>
  <c r="L1198" i="1" s="1"/>
  <c r="J1196" i="1" a="1"/>
  <c r="J1196" i="1" s="1"/>
  <c r="L1199" i="1" a="1"/>
  <c r="L1199" i="1" s="1"/>
  <c r="J1202" i="1" a="1"/>
  <c r="J1202" i="1" s="1"/>
  <c r="K1200" i="1" a="1"/>
  <c r="K1200" i="1" s="1"/>
  <c r="K1199" i="1" a="1"/>
  <c r="K1199" i="1" s="1"/>
  <c r="J1198" i="1" a="1"/>
  <c r="J1198" i="1" s="1"/>
  <c r="L1202" i="1" a="1"/>
  <c r="L1202" i="1" s="1"/>
  <c r="L1196" i="1" a="1"/>
  <c r="L1196" i="1" s="1"/>
  <c r="J1199" i="1" a="1"/>
  <c r="J1199" i="1" s="1"/>
  <c r="K1202" i="1" a="1"/>
  <c r="K1202" i="1" s="1"/>
  <c r="K1197" i="1" a="1"/>
  <c r="K1197" i="1" s="1"/>
  <c r="J1201" i="1" a="1"/>
  <c r="J1201" i="1" s="1"/>
  <c r="K1196" i="1" a="1"/>
  <c r="K1196" i="1" s="1"/>
  <c r="J1195" i="1" a="1"/>
  <c r="J1195" i="1" s="1"/>
  <c r="L1201" i="1" a="1"/>
  <c r="L1201" i="1" s="1"/>
  <c r="K1201" i="1" a="1"/>
  <c r="K1201" i="1" s="1"/>
  <c r="L1200" i="1" a="1"/>
  <c r="L1200" i="1" s="1"/>
  <c r="J1200" i="1" a="1"/>
  <c r="J1200" i="1" s="1"/>
  <c r="J1197" i="1" a="1"/>
  <c r="J1197" i="1" s="1"/>
  <c r="K1187" i="1" a="1"/>
  <c r="K1187" i="1" s="1"/>
  <c r="J1187" i="1" a="1"/>
  <c r="J1187" i="1" s="1"/>
  <c r="K1190" i="1" a="1"/>
  <c r="K1190" i="1" s="1"/>
  <c r="L1189" i="1" a="1"/>
  <c r="L1189" i="1" s="1"/>
  <c r="K1185" i="1" a="1"/>
  <c r="K1185" i="1" s="1"/>
  <c r="K1194" i="1" a="1"/>
  <c r="K1194" i="1" s="1"/>
  <c r="J1194" i="1" a="1"/>
  <c r="J1194" i="1" s="1"/>
  <c r="K1193" i="1" a="1"/>
  <c r="K1193" i="1" s="1"/>
  <c r="K1191" i="1" a="1"/>
  <c r="K1191" i="1" s="1"/>
  <c r="J1190" i="1" a="1"/>
  <c r="J1190" i="1" s="1"/>
  <c r="K1189" i="1" a="1"/>
  <c r="K1189" i="1" s="1"/>
  <c r="J1188" i="1" a="1"/>
  <c r="J1188" i="1" s="1"/>
  <c r="L1185" i="1" a="1"/>
  <c r="L1185" i="1" s="1"/>
  <c r="L1193" i="1" a="1"/>
  <c r="L1193" i="1" s="1"/>
  <c r="K1186" i="1" a="1"/>
  <c r="K1186" i="1" s="1"/>
  <c r="J1193" i="1" a="1"/>
  <c r="J1193" i="1" s="1"/>
  <c r="J1192" i="1" a="1"/>
  <c r="J1192" i="1" s="1"/>
  <c r="L1190" i="1" a="1"/>
  <c r="L1190" i="1" s="1"/>
  <c r="K1188" i="1" a="1"/>
  <c r="K1188" i="1" s="1"/>
  <c r="J1189" i="1" a="1"/>
  <c r="J1189" i="1" s="1"/>
  <c r="J1186" i="1" a="1"/>
  <c r="J1186" i="1" s="1"/>
  <c r="L1192" i="1" a="1"/>
  <c r="L1192" i="1" s="1"/>
  <c r="K1192" i="1" a="1"/>
  <c r="K1192" i="1" s="1"/>
  <c r="L1191" i="1" a="1"/>
  <c r="L1191" i="1" s="1"/>
  <c r="J1191" i="1" a="1"/>
  <c r="J1191" i="1" s="1"/>
  <c r="L1188" i="1" a="1"/>
  <c r="L1188" i="1" s="1"/>
  <c r="L1187" i="1" a="1"/>
  <c r="L1187" i="1" s="1"/>
  <c r="L1186" i="1" a="1"/>
  <c r="L1186" i="1" s="1"/>
  <c r="J1178" i="1" a="1"/>
  <c r="J1178" i="1" s="1"/>
  <c r="L1179" i="1" a="1"/>
  <c r="L1179" i="1" s="1"/>
  <c r="L1174" i="1" a="1"/>
  <c r="L1174" i="1" s="1"/>
  <c r="J1175" i="1" a="1"/>
  <c r="J1175" i="1" s="1"/>
  <c r="L1178" i="1" a="1"/>
  <c r="L1178" i="1" s="1"/>
  <c r="K1177" i="1" a="1"/>
  <c r="K1177" i="1" s="1"/>
  <c r="L1177" i="1" a="1"/>
  <c r="L1177" i="1" s="1"/>
  <c r="J1185" i="1" a="1"/>
  <c r="J1185" i="1" s="1"/>
  <c r="J1176" i="1" a="1"/>
  <c r="J1176" i="1" s="1"/>
  <c r="K1175" i="1" a="1"/>
  <c r="K1175" i="1" s="1"/>
  <c r="J1179" i="1" a="1"/>
  <c r="J1179" i="1" s="1"/>
  <c r="K1178" i="1" a="1"/>
  <c r="K1178" i="1" s="1"/>
  <c r="K1174" i="1" a="1"/>
  <c r="K1174" i="1" s="1"/>
  <c r="J1177" i="1" a="1"/>
  <c r="J1177" i="1" s="1"/>
  <c r="L1176" i="1" a="1"/>
  <c r="L1176" i="1" s="1"/>
  <c r="K1176" i="1" a="1"/>
  <c r="K1176" i="1" s="1"/>
  <c r="L1175" i="1" a="1"/>
  <c r="L1175" i="1" s="1"/>
  <c r="K1179" i="1" a="1"/>
  <c r="K1179" i="1" s="1"/>
  <c r="J1174" i="1" a="1"/>
  <c r="J1174" i="1" s="1"/>
  <c r="J1172" i="1" a="1"/>
  <c r="J1172" i="1" s="1"/>
  <c r="L1171" i="1" a="1"/>
  <c r="L1171" i="1" s="1"/>
  <c r="L1166" i="1" a="1"/>
  <c r="L1166" i="1" s="1"/>
  <c r="L1170" i="1" a="1"/>
  <c r="L1170" i="1" s="1"/>
  <c r="K1166" i="1" a="1"/>
  <c r="K1166" i="1" s="1"/>
  <c r="L1168" i="1" a="1"/>
  <c r="L1168" i="1" s="1"/>
  <c r="K1165" i="1" a="1"/>
  <c r="K1165" i="1" s="1"/>
  <c r="K1169" i="1" a="1"/>
  <c r="K1169" i="1" s="1"/>
  <c r="L1165" i="1" a="1"/>
  <c r="L1165" i="1" s="1"/>
  <c r="J1173" i="1" a="1"/>
  <c r="J1173" i="1" s="1"/>
  <c r="K1172" i="1" a="1"/>
  <c r="K1172" i="1" s="1"/>
  <c r="L1167" i="1" a="1"/>
  <c r="L1167" i="1" s="1"/>
  <c r="J1165" i="1" a="1"/>
  <c r="J1165" i="1" s="1"/>
  <c r="J1169" i="1" a="1"/>
  <c r="J1169" i="1" s="1"/>
  <c r="L1173" i="1" a="1"/>
  <c r="L1173" i="1" s="1"/>
  <c r="K1173" i="1" a="1"/>
  <c r="K1173" i="1" s="1"/>
  <c r="K1171" i="1" a="1"/>
  <c r="K1171" i="1" s="1"/>
  <c r="K1168" i="1" a="1"/>
  <c r="K1168" i="1" s="1"/>
  <c r="J1168" i="1" a="1"/>
  <c r="J1168" i="1" s="1"/>
  <c r="J1166" i="1" a="1"/>
  <c r="J1166" i="1" s="1"/>
  <c r="L1172" i="1" a="1"/>
  <c r="L1172" i="1" s="1"/>
  <c r="J1171" i="1" a="1"/>
  <c r="J1171" i="1" s="1"/>
  <c r="J1167" i="1" a="1"/>
  <c r="J1167" i="1" s="1"/>
  <c r="K1170" i="1" a="1"/>
  <c r="K1170" i="1" s="1"/>
  <c r="K1167" i="1" a="1"/>
  <c r="K1167" i="1" s="1"/>
  <c r="J1170" i="1" a="1"/>
  <c r="J1170" i="1" s="1"/>
  <c r="L1169" i="1" a="1"/>
  <c r="L1169" i="1" s="1"/>
  <c r="J1164" i="1" a="1"/>
  <c r="J1164" i="1" s="1"/>
  <c r="L1163" i="1" a="1"/>
  <c r="L1163" i="1" s="1"/>
  <c r="J1163" i="1" a="1"/>
  <c r="J1163" i="1" s="1"/>
  <c r="L1164" i="1" a="1"/>
  <c r="L1164" i="1" s="1"/>
  <c r="L1162" i="1" a="1"/>
  <c r="L1162" i="1" s="1"/>
  <c r="K1164" i="1" a="1"/>
  <c r="K1164" i="1" s="1"/>
  <c r="K1163" i="1" a="1"/>
  <c r="K1163" i="1" s="1"/>
  <c r="K1162" i="1" a="1"/>
  <c r="K1162" i="1" s="1"/>
  <c r="J1162" i="1" a="1"/>
  <c r="J1162" i="1" s="1"/>
  <c r="L1149" i="1" a="1"/>
  <c r="L1149" i="1" s="1"/>
  <c r="J1153" i="1" a="1"/>
  <c r="J1153" i="1" s="1"/>
  <c r="K1149" i="1" a="1"/>
  <c r="K1149" i="1" s="1"/>
  <c r="L1148" i="1" a="1"/>
  <c r="L1148" i="1" s="1"/>
  <c r="L1153" i="1" a="1"/>
  <c r="L1153" i="1" s="1"/>
  <c r="J1156" i="1" a="1"/>
  <c r="J1156" i="1" s="1"/>
  <c r="L1154" i="1" a="1"/>
  <c r="L1154" i="1" s="1"/>
  <c r="K1148" i="1" a="1"/>
  <c r="K1148" i="1" s="1"/>
  <c r="J1155" i="1" a="1"/>
  <c r="J1155" i="1" s="1"/>
  <c r="K1154" i="1" a="1"/>
  <c r="K1154" i="1" s="1"/>
  <c r="J1154" i="1" a="1"/>
  <c r="J1154" i="1" s="1"/>
  <c r="J1150" i="1" a="1"/>
  <c r="J1150" i="1" s="1"/>
  <c r="L1156" i="1" a="1"/>
  <c r="L1156" i="1" s="1"/>
  <c r="K1156" i="1" a="1"/>
  <c r="K1156" i="1" s="1"/>
  <c r="J1149" i="1" a="1"/>
  <c r="J1149" i="1" s="1"/>
  <c r="K1153" i="1" a="1"/>
  <c r="K1153" i="1" s="1"/>
  <c r="L1155" i="1" a="1"/>
  <c r="L1155" i="1" s="1"/>
  <c r="L1150" i="1" a="1"/>
  <c r="L1150" i="1" s="1"/>
  <c r="K1150" i="1" a="1"/>
  <c r="K1150" i="1" s="1"/>
  <c r="K1155" i="1" a="1"/>
  <c r="K1155" i="1" s="1"/>
  <c r="J1147" i="1" a="1"/>
  <c r="J1147" i="1" s="1"/>
  <c r="K1143" i="1" a="1"/>
  <c r="K1143" i="1" s="1"/>
  <c r="K1141" i="1" a="1"/>
  <c r="K1141" i="1" s="1"/>
  <c r="J1146" i="1" a="1"/>
  <c r="J1146" i="1" s="1"/>
  <c r="J1141" i="1" a="1"/>
  <c r="J1141" i="1" s="1"/>
  <c r="L1146" i="1" a="1"/>
  <c r="L1146" i="1" s="1"/>
  <c r="K1144" i="1" a="1"/>
  <c r="K1144" i="1" s="1"/>
  <c r="J1142" i="1" a="1"/>
  <c r="J1142" i="1" s="1"/>
  <c r="K1145" i="1" a="1"/>
  <c r="K1145" i="1" s="1"/>
  <c r="L1142" i="1" a="1"/>
  <c r="L1142" i="1" s="1"/>
  <c r="K1140" i="1" a="1"/>
  <c r="K1140" i="1" s="1"/>
  <c r="L1147" i="1" a="1"/>
  <c r="L1147" i="1" s="1"/>
  <c r="K1147" i="1" a="1"/>
  <c r="K1147" i="1" s="1"/>
  <c r="J1143" i="1" a="1"/>
  <c r="J1143" i="1" s="1"/>
  <c r="L1144" i="1" a="1"/>
  <c r="L1144" i="1" s="1"/>
  <c r="J1145" i="1" a="1"/>
  <c r="J1145" i="1" s="1"/>
  <c r="J1140" i="1" a="1"/>
  <c r="J1140" i="1" s="1"/>
  <c r="L1140" i="1" a="1"/>
  <c r="L1140" i="1" s="1"/>
  <c r="J1144" i="1" a="1"/>
  <c r="J1144" i="1" s="1"/>
  <c r="L1143" i="1" a="1"/>
  <c r="L1143" i="1" s="1"/>
  <c r="K1142" i="1" a="1"/>
  <c r="K1142" i="1" s="1"/>
  <c r="L1145" i="1" a="1"/>
  <c r="L1145" i="1" s="1"/>
  <c r="K1146" i="1" a="1"/>
  <c r="K1146" i="1" s="1"/>
  <c r="L1141" i="1" a="1"/>
  <c r="L1141" i="1" s="1"/>
  <c r="L1139" i="1" a="1"/>
  <c r="L1139" i="1" s="1"/>
  <c r="J1148" i="1" a="1"/>
  <c r="J1148" i="1" s="1"/>
  <c r="L1549" i="1" a="1"/>
  <c r="L1549" i="1" s="1"/>
  <c r="K1549" i="1" a="1"/>
  <c r="K1549" i="1" s="1"/>
  <c r="J1549" i="1" a="1"/>
  <c r="J1549" i="1" s="1"/>
  <c r="L1548" i="1" a="1"/>
  <c r="L1548" i="1" s="1"/>
  <c r="K1531" i="1" a="1"/>
  <c r="K1531" i="1" s="1"/>
  <c r="L1531" i="1" a="1"/>
  <c r="L1531" i="1" s="1"/>
  <c r="K1548" i="1" a="1"/>
  <c r="K1548" i="1" s="1"/>
  <c r="J1548" i="1" a="1"/>
  <c r="J1548" i="1" s="1"/>
  <c r="L1551" i="1" a="1"/>
  <c r="L1551" i="1" s="1"/>
  <c r="K1551" i="1" a="1"/>
  <c r="K1551" i="1" s="1"/>
  <c r="J1551" i="1" a="1"/>
  <c r="J1551" i="1" s="1"/>
  <c r="J1526" i="1" a="1"/>
  <c r="J1526" i="1" s="1"/>
  <c r="J1522" i="1" a="1"/>
  <c r="J1522" i="1" s="1"/>
  <c r="J1525" i="1" a="1"/>
  <c r="J1525" i="1" s="1"/>
  <c r="L1522" i="1" a="1"/>
  <c r="L1522" i="1" s="1"/>
  <c r="K1522" i="1" a="1"/>
  <c r="K1522" i="1" s="1"/>
  <c r="L1528" i="1" a="1"/>
  <c r="L1528" i="1" s="1"/>
  <c r="J1523" i="1" a="1"/>
  <c r="J1523" i="1" s="1"/>
  <c r="K1523" i="1" a="1"/>
  <c r="K1523" i="1" s="1"/>
  <c r="K1527" i="1" a="1"/>
  <c r="K1527" i="1" s="1"/>
  <c r="L1524" i="1" a="1"/>
  <c r="L1524" i="1" s="1"/>
  <c r="J1531" i="1" a="1"/>
  <c r="J1531" i="1" s="1"/>
  <c r="L1530" i="1" a="1"/>
  <c r="L1530" i="1" s="1"/>
  <c r="K1530" i="1" a="1"/>
  <c r="K1530" i="1" s="1"/>
  <c r="J1530" i="1" a="1"/>
  <c r="J1530" i="1" s="1"/>
  <c r="L1529" i="1" a="1"/>
  <c r="L1529" i="1" s="1"/>
  <c r="K1529" i="1" a="1"/>
  <c r="K1529" i="1" s="1"/>
  <c r="J1529" i="1" a="1"/>
  <c r="J1529" i="1" s="1"/>
  <c r="K1528" i="1" a="1"/>
  <c r="K1528" i="1" s="1"/>
  <c r="L1527" i="1" a="1"/>
  <c r="L1527" i="1" s="1"/>
  <c r="L1525" i="1" a="1"/>
  <c r="L1525" i="1" s="1"/>
  <c r="L1523" i="1" a="1"/>
  <c r="L1523" i="1" s="1"/>
  <c r="K1524" i="1" a="1"/>
  <c r="K1524" i="1" s="1"/>
  <c r="J1527" i="1" a="1"/>
  <c r="J1527" i="1" s="1"/>
  <c r="J1528" i="1" a="1"/>
  <c r="J1528" i="1" s="1"/>
  <c r="L1526" i="1" a="1"/>
  <c r="L1526" i="1" s="1"/>
  <c r="K1526" i="1" a="1"/>
  <c r="K1526" i="1" s="1"/>
  <c r="K1525" i="1" a="1"/>
  <c r="K1525" i="1" s="1"/>
  <c r="J1524" i="1" a="1"/>
  <c r="J1524" i="1" s="1"/>
  <c r="K1514" i="1" a="1"/>
  <c r="K1514" i="1" s="1"/>
  <c r="L1516" i="1" a="1"/>
  <c r="L1516" i="1" s="1"/>
  <c r="L1514" i="1" a="1"/>
  <c r="L1514" i="1" s="1"/>
  <c r="L1515" i="1" a="1"/>
  <c r="L1515" i="1" s="1"/>
  <c r="L1520" i="1" a="1"/>
  <c r="L1520" i="1" s="1"/>
  <c r="J1520" i="1" a="1"/>
  <c r="J1520" i="1" s="1"/>
  <c r="K1519" i="1" a="1"/>
  <c r="K1519" i="1" s="1"/>
  <c r="J1519" i="1" a="1"/>
  <c r="J1519" i="1" s="1"/>
  <c r="K1517" i="1" a="1"/>
  <c r="K1517" i="1" s="1"/>
  <c r="K1515" i="1" a="1"/>
  <c r="K1515" i="1" s="1"/>
  <c r="J1514" i="1" a="1"/>
  <c r="J1514" i="1" s="1"/>
  <c r="L1521" i="1" a="1"/>
  <c r="L1521" i="1" s="1"/>
  <c r="K1521" i="1" a="1"/>
  <c r="K1521" i="1" s="1"/>
  <c r="J1521" i="1" a="1"/>
  <c r="J1521" i="1" s="1"/>
  <c r="K1520" i="1" a="1"/>
  <c r="K1520" i="1" s="1"/>
  <c r="L1517" i="1" a="1"/>
  <c r="L1517" i="1" s="1"/>
  <c r="L1519" i="1" a="1"/>
  <c r="L1519" i="1" s="1"/>
  <c r="K1513" i="1" a="1"/>
  <c r="K1513" i="1" s="1"/>
  <c r="J1515" i="1" a="1"/>
  <c r="J1515" i="1" s="1"/>
  <c r="L1513" i="1" a="1"/>
  <c r="L1513" i="1" s="1"/>
  <c r="K1516" i="1" a="1"/>
  <c r="K1516" i="1" s="1"/>
  <c r="J1513" i="1" a="1"/>
  <c r="J1513" i="1" s="1"/>
  <c r="J1517" i="1" a="1"/>
  <c r="J1517" i="1" s="1"/>
  <c r="J1516" i="1" a="1"/>
  <c r="J1516" i="1" s="1"/>
  <c r="J1504" i="1" a="1"/>
  <c r="J1504" i="1" s="1"/>
  <c r="J1502" i="1" a="1"/>
  <c r="J1502" i="1" s="1"/>
  <c r="J1505" i="1" a="1"/>
  <c r="J1505" i="1" s="1"/>
  <c r="K1505" i="1" a="1"/>
  <c r="K1505" i="1" s="1"/>
  <c r="J1506" i="1" a="1"/>
  <c r="J1506" i="1" s="1"/>
  <c r="L1501" i="1" a="1"/>
  <c r="L1501" i="1" s="1"/>
  <c r="L1504" i="1" a="1"/>
  <c r="L1504" i="1" s="1"/>
  <c r="L1506" i="1" a="1"/>
  <c r="L1506" i="1" s="1"/>
  <c r="K1504" i="1" a="1"/>
  <c r="K1504" i="1" s="1"/>
  <c r="L1502" i="1" a="1"/>
  <c r="L1502" i="1" s="1"/>
  <c r="L1507" i="1" a="1"/>
  <c r="L1507" i="1" s="1"/>
  <c r="K1507" i="1" a="1"/>
  <c r="K1507" i="1" s="1"/>
  <c r="J1507" i="1" a="1"/>
  <c r="J1507" i="1" s="1"/>
  <c r="K1506" i="1" a="1"/>
  <c r="K1506" i="1" s="1"/>
  <c r="K1502" i="1" a="1"/>
  <c r="K1502" i="1" s="1"/>
  <c r="L1505" i="1" a="1"/>
  <c r="L1505" i="1" s="1"/>
  <c r="K1676" i="1" a="1"/>
  <c r="K1676" i="1" s="1"/>
  <c r="J1676" i="1" a="1"/>
  <c r="J1676" i="1" s="1"/>
  <c r="K1672" i="1" a="1"/>
  <c r="K1672" i="1" s="1"/>
  <c r="J1674" i="1" a="1"/>
  <c r="J1674" i="1" s="1"/>
  <c r="L1676" i="1" a="1"/>
  <c r="L1676" i="1" s="1"/>
  <c r="K1675" i="1" a="1"/>
  <c r="K1675" i="1" s="1"/>
  <c r="L1674" i="1" a="1"/>
  <c r="L1674" i="1" s="1"/>
  <c r="J1673" i="1" a="1"/>
  <c r="J1673" i="1" s="1"/>
  <c r="L1672" i="1" a="1"/>
  <c r="L1672" i="1" s="1"/>
  <c r="L1673" i="1" a="1"/>
  <c r="L1673" i="1" s="1"/>
  <c r="K1673" i="1" a="1"/>
  <c r="K1673" i="1" s="1"/>
  <c r="J1675" i="1" a="1"/>
  <c r="J1675" i="1" s="1"/>
  <c r="K1674" i="1" a="1"/>
  <c r="K1674" i="1" s="1"/>
  <c r="L1675" i="1" a="1"/>
  <c r="L1675" i="1" s="1"/>
  <c r="J1670" i="1" a="1"/>
  <c r="J1670" i="1" s="1"/>
  <c r="L1670" i="1" a="1"/>
  <c r="L1670" i="1" s="1"/>
  <c r="K1670" i="1" a="1"/>
  <c r="K1670" i="1" s="1"/>
  <c r="L1661" i="1" a="1"/>
  <c r="L1661" i="1" s="1"/>
  <c r="L1668" i="1" a="1"/>
  <c r="L1668" i="1" s="1"/>
  <c r="L1669" i="1" a="1"/>
  <c r="L1669" i="1" s="1"/>
  <c r="J1667" i="1" a="1"/>
  <c r="J1667" i="1" s="1"/>
  <c r="K1661" i="1" a="1"/>
  <c r="K1661" i="1" s="1"/>
  <c r="J1661" i="1" a="1"/>
  <c r="J1661" i="1" s="1"/>
  <c r="J1662" i="1" a="1"/>
  <c r="J1662" i="1" s="1"/>
  <c r="L1662" i="1" a="1"/>
  <c r="L1662" i="1" s="1"/>
  <c r="J1672" i="1" a="1"/>
  <c r="J1672" i="1" s="1"/>
  <c r="K1667" i="1" a="1"/>
  <c r="K1667" i="1" s="1"/>
  <c r="K1662" i="1" a="1"/>
  <c r="K1662" i="1" s="1"/>
  <c r="L1671" i="1" a="1"/>
  <c r="L1671" i="1" s="1"/>
  <c r="K1668" i="1" a="1"/>
  <c r="K1668" i="1" s="1"/>
  <c r="J1660" i="1" a="1"/>
  <c r="J1660" i="1" s="1"/>
  <c r="J1668" i="1" a="1"/>
  <c r="J1668" i="1" s="1"/>
  <c r="L1660" i="1" a="1"/>
  <c r="L1660" i="1" s="1"/>
  <c r="K1660" i="1" a="1"/>
  <c r="K1660" i="1" s="1"/>
  <c r="K1669" i="1" a="1"/>
  <c r="K1669" i="1" s="1"/>
  <c r="K1671" i="1" a="1"/>
  <c r="K1671" i="1" s="1"/>
  <c r="J1669" i="1" a="1"/>
  <c r="J1669" i="1" s="1"/>
  <c r="J1671" i="1" a="1"/>
  <c r="J1671" i="1" s="1"/>
  <c r="L1667" i="1" a="1"/>
  <c r="L1667" i="1" s="1"/>
  <c r="L1646" i="1" a="1"/>
  <c r="L1646" i="1" s="1"/>
  <c r="L1654" i="1" a="1"/>
  <c r="L1654" i="1" s="1"/>
  <c r="J1654" i="1" a="1"/>
  <c r="J1654" i="1" s="1"/>
  <c r="K1647" i="1" a="1"/>
  <c r="K1647" i="1" s="1"/>
  <c r="K1646" i="1" a="1"/>
  <c r="K1646" i="1" s="1"/>
  <c r="L1647" i="1" a="1"/>
  <c r="L1647" i="1" s="1"/>
  <c r="J1647" i="1" a="1"/>
  <c r="J1647" i="1" s="1"/>
  <c r="J1646" i="1" a="1"/>
  <c r="J1646" i="1" s="1"/>
  <c r="K1654" i="1" a="1"/>
  <c r="K1654" i="1" s="1"/>
  <c r="J1642" i="1" a="1"/>
  <c r="J1642" i="1" s="1"/>
  <c r="K1629" i="1" a="1"/>
  <c r="K1629" i="1" s="1"/>
  <c r="K1643" i="1" a="1"/>
  <c r="K1643" i="1" s="1"/>
  <c r="L1642" i="1" a="1"/>
  <c r="L1642" i="1" s="1"/>
  <c r="K1642" i="1" a="1"/>
  <c r="K1642" i="1" s="1"/>
  <c r="J1629" i="1" a="1"/>
  <c r="J1629" i="1" s="1"/>
  <c r="J1643" i="1" a="1"/>
  <c r="J1643" i="1" s="1"/>
  <c r="L1643" i="1" a="1"/>
  <c r="L1643" i="1" s="1"/>
  <c r="L1629" i="1" a="1"/>
  <c r="L1629" i="1" s="1"/>
  <c r="K1623" i="1" a="1"/>
  <c r="K1623" i="1" s="1"/>
  <c r="L1621" i="1" a="1"/>
  <c r="L1621" i="1" s="1"/>
  <c r="J1623" i="1" a="1"/>
  <c r="J1623" i="1" s="1"/>
  <c r="J1626" i="1" a="1"/>
  <c r="J1626" i="1" s="1"/>
  <c r="K1627" i="1" a="1"/>
  <c r="K1627" i="1" s="1"/>
  <c r="J1628" i="1" a="1"/>
  <c r="J1628" i="1" s="1"/>
  <c r="J1625" i="1" a="1"/>
  <c r="J1625" i="1" s="1"/>
  <c r="J1624" i="1" a="1"/>
  <c r="J1624" i="1" s="1"/>
  <c r="L1625" i="1" a="1"/>
  <c r="L1625" i="1" s="1"/>
  <c r="L1624" i="1" a="1"/>
  <c r="L1624" i="1" s="1"/>
  <c r="L1622" i="1" a="1"/>
  <c r="L1622" i="1" s="1"/>
  <c r="K1621" i="1" a="1"/>
  <c r="K1621" i="1" s="1"/>
  <c r="L1628" i="1" a="1"/>
  <c r="L1628" i="1" s="1"/>
  <c r="K1622" i="1" a="1"/>
  <c r="K1622" i="1" s="1"/>
  <c r="K1626" i="1" a="1"/>
  <c r="K1626" i="1" s="1"/>
  <c r="L1623" i="1" a="1"/>
  <c r="L1623" i="1" s="1"/>
  <c r="L1626" i="1" a="1"/>
  <c r="L1626" i="1" s="1"/>
  <c r="J1622" i="1" a="1"/>
  <c r="J1622" i="1" s="1"/>
  <c r="J1621" i="1" a="1"/>
  <c r="J1621" i="1" s="1"/>
  <c r="K1625" i="1" a="1"/>
  <c r="K1625" i="1" s="1"/>
  <c r="K1624" i="1" a="1"/>
  <c r="K1624" i="1" s="1"/>
  <c r="K1628" i="1" a="1"/>
  <c r="K1628" i="1" s="1"/>
  <c r="L1627" i="1" a="1"/>
  <c r="L1627" i="1" s="1"/>
  <c r="J1627" i="1" a="1"/>
  <c r="J1627" i="1" s="1"/>
  <c r="K1612" i="1" a="1"/>
  <c r="K1612" i="1" s="1"/>
  <c r="L1611" i="1" a="1"/>
  <c r="L1611" i="1" s="1"/>
  <c r="L1619" i="1" a="1"/>
  <c r="L1619" i="1" s="1"/>
  <c r="J1619" i="1" a="1"/>
  <c r="J1619" i="1" s="1"/>
  <c r="J1611" i="1" a="1"/>
  <c r="J1611" i="1" s="1"/>
  <c r="J1605" i="1" a="1"/>
  <c r="J1605" i="1" s="1"/>
  <c r="K1604" i="1" a="1"/>
  <c r="K1604" i="1" s="1"/>
  <c r="L1612" i="1" a="1"/>
  <c r="L1612" i="1" s="1"/>
  <c r="K1611" i="1" a="1"/>
  <c r="K1611" i="1" s="1"/>
  <c r="J1604" i="1" a="1"/>
  <c r="J1604" i="1" s="1"/>
  <c r="J1612" i="1" a="1"/>
  <c r="J1612" i="1" s="1"/>
  <c r="K1613" i="1" a="1"/>
  <c r="K1613" i="1" s="1"/>
  <c r="L1613" i="1" a="1"/>
  <c r="L1613" i="1" s="1"/>
  <c r="L1605" i="1" a="1"/>
  <c r="L1605" i="1" s="1"/>
  <c r="L1604" i="1" a="1"/>
  <c r="L1604" i="1" s="1"/>
  <c r="K1605" i="1" a="1"/>
  <c r="K1605" i="1" s="1"/>
  <c r="K1619" i="1" a="1"/>
  <c r="K1619" i="1" s="1"/>
  <c r="J1613" i="1" a="1"/>
  <c r="J1613" i="1" s="1"/>
  <c r="K1595" i="1" a="1"/>
  <c r="K1595" i="1" s="1"/>
  <c r="K1596" i="1" a="1"/>
  <c r="K1596" i="1" s="1"/>
  <c r="K1598" i="1" a="1"/>
  <c r="K1598" i="1" s="1"/>
  <c r="L1598" i="1" a="1"/>
  <c r="L1598" i="1" s="1"/>
  <c r="J1598" i="1" a="1"/>
  <c r="J1598" i="1" s="1"/>
  <c r="J1596" i="1" a="1"/>
  <c r="J1596" i="1" s="1"/>
  <c r="J1595" i="1" a="1"/>
  <c r="J1595" i="1" s="1"/>
  <c r="L1596" i="1" a="1"/>
  <c r="L1596" i="1" s="1"/>
  <c r="L1595" i="1" a="1"/>
  <c r="L1595" i="1" s="1"/>
  <c r="K1580" i="1" a="1"/>
  <c r="K1580" i="1" s="1"/>
  <c r="J1580" i="1" a="1"/>
  <c r="J1580" i="1" s="1"/>
  <c r="J1582" i="1" a="1"/>
  <c r="J1582" i="1" s="1"/>
  <c r="K1582" i="1" a="1"/>
  <c r="K1582" i="1" s="1"/>
  <c r="K1581" i="1" a="1"/>
  <c r="K1581" i="1" s="1"/>
  <c r="L1579" i="1" a="1"/>
  <c r="L1579" i="1" s="1"/>
  <c r="L1582" i="1" a="1"/>
  <c r="L1582" i="1" s="1"/>
  <c r="J1581" i="1" a="1"/>
  <c r="J1581" i="1" s="1"/>
  <c r="K1578" i="1" a="1"/>
  <c r="K1578" i="1" s="1"/>
  <c r="J1578" i="1" a="1"/>
  <c r="J1578" i="1" s="1"/>
  <c r="L1581" i="1" a="1"/>
  <c r="L1581" i="1" s="1"/>
  <c r="L1580" i="1" a="1"/>
  <c r="L1580" i="1" s="1"/>
  <c r="K1579" i="1" a="1"/>
  <c r="K1579" i="1" s="1"/>
  <c r="J1579" i="1" a="1"/>
  <c r="J1579" i="1" s="1"/>
  <c r="L1578" i="1" a="1"/>
  <c r="L1578" i="1" s="1"/>
  <c r="J1572" i="1" a="1"/>
  <c r="J1572" i="1" s="1"/>
  <c r="L1572" i="1" a="1"/>
  <c r="L1572" i="1" s="1"/>
  <c r="L1577" i="1" a="1"/>
  <c r="L1577" i="1" s="1"/>
  <c r="J1577" i="1" a="1"/>
  <c r="J1577" i="1" s="1"/>
  <c r="K1575" i="1" a="1"/>
  <c r="K1575" i="1" s="1"/>
  <c r="J1574" i="1" a="1"/>
  <c r="J1574" i="1" s="1"/>
  <c r="K1572" i="1" a="1"/>
  <c r="K1572" i="1" s="1"/>
  <c r="K1577" i="1" a="1"/>
  <c r="K1577" i="1" s="1"/>
  <c r="L1576" i="1" a="1"/>
  <c r="L1576" i="1" s="1"/>
  <c r="K1576" i="1" a="1"/>
  <c r="K1576" i="1" s="1"/>
  <c r="J1576" i="1" a="1"/>
  <c r="J1576" i="1" s="1"/>
  <c r="L1575" i="1" a="1"/>
  <c r="L1575" i="1" s="1"/>
  <c r="J1575" i="1" a="1"/>
  <c r="J1575" i="1" s="1"/>
  <c r="L1574" i="1" a="1"/>
  <c r="L1574" i="1" s="1"/>
  <c r="K1574" i="1" a="1"/>
  <c r="K1574" i="1" s="1"/>
  <c r="K1558" i="1" a="1"/>
  <c r="K1558" i="1" s="1"/>
  <c r="L1557" i="1" a="1"/>
  <c r="L1557" i="1" s="1"/>
  <c r="J1557" i="1" a="1"/>
  <c r="J1557" i="1" s="1"/>
  <c r="J1564" i="1" a="1"/>
  <c r="J1564" i="1" s="1"/>
  <c r="L1566" i="1" a="1"/>
  <c r="L1566" i="1" s="1"/>
  <c r="K1566" i="1" a="1"/>
  <c r="K1566" i="1" s="1"/>
  <c r="J1566" i="1" a="1"/>
  <c r="J1566" i="1" s="1"/>
  <c r="L1565" i="1" a="1"/>
  <c r="L1565" i="1" s="1"/>
  <c r="K1565" i="1" a="1"/>
  <c r="K1565" i="1" s="1"/>
  <c r="J1565" i="1" a="1"/>
  <c r="J1565" i="1" s="1"/>
  <c r="L1564" i="1" a="1"/>
  <c r="L1564" i="1" s="1"/>
  <c r="K1564" i="1" a="1"/>
  <c r="K1564" i="1" s="1"/>
  <c r="K1557" i="1" a="1"/>
  <c r="K1557" i="1" s="1"/>
  <c r="J1558" i="1" a="1"/>
  <c r="J1558" i="1" s="1"/>
  <c r="L1558" i="1" a="1"/>
  <c r="L1558" i="1" s="1"/>
  <c r="J1989" i="1" a="1"/>
  <c r="J1989" i="1" s="1"/>
  <c r="K1987" i="1" a="1"/>
  <c r="K1987" i="1" s="1"/>
  <c r="K1988" i="1" a="1"/>
  <c r="K1988" i="1" s="1"/>
  <c r="L1989" i="1" a="1"/>
  <c r="L1989" i="1" s="1"/>
  <c r="L1990" i="1" a="1"/>
  <c r="L1990" i="1" s="1"/>
  <c r="J1988" i="1" a="1"/>
  <c r="J1988" i="1" s="1"/>
  <c r="J1991" i="1" a="1"/>
  <c r="J1991" i="1" s="1"/>
  <c r="K1989" i="1" a="1"/>
  <c r="K1989" i="1" s="1"/>
  <c r="L1986" i="1" a="1"/>
  <c r="L1986" i="1" s="1"/>
  <c r="L1988" i="1" a="1"/>
  <c r="L1988" i="1" s="1"/>
  <c r="L1991" i="1" a="1"/>
  <c r="L1991" i="1" s="1"/>
  <c r="L1992" i="1" a="1"/>
  <c r="L1992" i="1" s="1"/>
  <c r="J1990" i="1" a="1"/>
  <c r="J1990" i="1" s="1"/>
  <c r="K1990" i="1" a="1"/>
  <c r="K1990" i="1" s="1"/>
  <c r="J1987" i="1" a="1"/>
  <c r="J1987" i="1" s="1"/>
  <c r="K1992" i="1" a="1"/>
  <c r="K1992" i="1" s="1"/>
  <c r="L1987" i="1" a="1"/>
  <c r="L1987" i="1" s="1"/>
  <c r="K1986" i="1" a="1"/>
  <c r="K1986" i="1" s="1"/>
  <c r="K1991" i="1" a="1"/>
  <c r="K1991" i="1" s="1"/>
  <c r="J1992" i="1" a="1"/>
  <c r="J1992" i="1" s="1"/>
  <c r="J1986" i="1" a="1"/>
  <c r="J1986" i="1" s="1"/>
  <c r="L1985" i="1" a="1"/>
  <c r="L1985" i="1" s="1"/>
  <c r="K1979" i="1" a="1"/>
  <c r="K1979" i="1" s="1"/>
  <c r="K1985" i="1" a="1"/>
  <c r="K1985" i="1" s="1"/>
  <c r="J1982" i="1" a="1"/>
  <c r="J1982" i="1" s="1"/>
  <c r="J1980" i="1" a="1"/>
  <c r="J1980" i="1" s="1"/>
  <c r="L1984" i="1" a="1"/>
  <c r="L1984" i="1" s="1"/>
  <c r="K1984" i="1" a="1"/>
  <c r="K1984" i="1" s="1"/>
  <c r="K1981" i="1" a="1"/>
  <c r="K1981" i="1" s="1"/>
  <c r="J1984" i="1" a="1"/>
  <c r="J1984" i="1" s="1"/>
  <c r="L1979" i="1" a="1"/>
  <c r="L1979" i="1" s="1"/>
  <c r="L1983" i="1" a="1"/>
  <c r="L1983" i="1" s="1"/>
  <c r="K1983" i="1" a="1"/>
  <c r="K1983" i="1" s="1"/>
  <c r="J1983" i="1" a="1"/>
  <c r="J1983" i="1" s="1"/>
  <c r="K1982" i="1" a="1"/>
  <c r="K1982" i="1" s="1"/>
  <c r="J1979" i="1" a="1"/>
  <c r="J1979" i="1" s="1"/>
  <c r="J1981" i="1" a="1"/>
  <c r="J1981" i="1" s="1"/>
  <c r="J1985" i="1" a="1"/>
  <c r="J1985" i="1" s="1"/>
  <c r="L1982" i="1" a="1"/>
  <c r="L1982" i="1" s="1"/>
  <c r="L1981" i="1" a="1"/>
  <c r="L1981" i="1" s="1"/>
  <c r="L1980" i="1" a="1"/>
  <c r="L1980" i="1" s="1"/>
  <c r="K1980" i="1" a="1"/>
  <c r="K1980" i="1" s="1"/>
  <c r="L1977" i="1" a="1"/>
  <c r="L1977" i="1" s="1"/>
  <c r="L1976" i="1" a="1"/>
  <c r="L1976" i="1" s="1"/>
  <c r="K1976" i="1" a="1"/>
  <c r="K1976" i="1" s="1"/>
  <c r="J1975" i="1" a="1"/>
  <c r="J1975" i="1" s="1"/>
  <c r="J1977" i="1" a="1"/>
  <c r="J1977" i="1" s="1"/>
  <c r="K1975" i="1" a="1"/>
  <c r="K1975" i="1" s="1"/>
  <c r="K1977" i="1" a="1"/>
  <c r="K1977" i="1" s="1"/>
  <c r="L1975" i="1" a="1"/>
  <c r="L1975" i="1" s="1"/>
  <c r="J1976" i="1" a="1"/>
  <c r="J1976" i="1" s="1"/>
  <c r="L1973" i="1" a="1"/>
  <c r="L1973" i="1" s="1"/>
  <c r="K1973" i="1" a="1"/>
  <c r="K1973" i="1" s="1"/>
  <c r="J1970" i="1" a="1"/>
  <c r="J1970" i="1" s="1"/>
  <c r="L1971" i="1" a="1"/>
  <c r="L1971" i="1" s="1"/>
  <c r="J1971" i="1" a="1"/>
  <c r="J1971" i="1" s="1"/>
  <c r="J1973" i="1" a="1"/>
  <c r="J1973" i="1" s="1"/>
  <c r="L1972" i="1" a="1"/>
  <c r="L1972" i="1" s="1"/>
  <c r="K1969" i="1" a="1"/>
  <c r="K1969" i="1" s="1"/>
  <c r="K1970" i="1" a="1"/>
  <c r="K1970" i="1" s="1"/>
  <c r="J1972" i="1" a="1"/>
  <c r="J1972" i="1" s="1"/>
  <c r="L1969" i="1" a="1"/>
  <c r="L1969" i="1" s="1"/>
  <c r="K1971" i="1" a="1"/>
  <c r="K1971" i="1" s="1"/>
  <c r="L1970" i="1" a="1"/>
  <c r="L1970" i="1" s="1"/>
  <c r="K1972" i="1" a="1"/>
  <c r="K1972" i="1" s="1"/>
  <c r="L1974" i="1" a="1"/>
  <c r="L1974" i="1" s="1"/>
  <c r="K1974" i="1" a="1"/>
  <c r="K1974" i="1" s="1"/>
  <c r="J1974" i="1" a="1"/>
  <c r="J1974" i="1" s="1"/>
  <c r="K1965" i="1" a="1"/>
  <c r="K1965" i="1" s="1"/>
  <c r="J1965" i="1" a="1"/>
  <c r="J1965" i="1" s="1"/>
  <c r="L1966" i="1" a="1"/>
  <c r="L1966" i="1" s="1"/>
  <c r="J1964" i="1" a="1"/>
  <c r="J1964" i="1" s="1"/>
  <c r="J1968" i="1" a="1"/>
  <c r="J1968" i="1" s="1"/>
  <c r="L1965" i="1" a="1"/>
  <c r="L1965" i="1" s="1"/>
  <c r="K1964" i="1" a="1"/>
  <c r="K1964" i="1" s="1"/>
  <c r="L1968" i="1" a="1"/>
  <c r="L1968" i="1" s="1"/>
  <c r="J1967" i="1" a="1"/>
  <c r="J1967" i="1" s="1"/>
  <c r="J1966" i="1" a="1"/>
  <c r="J1966" i="1" s="1"/>
  <c r="L1964" i="1" a="1"/>
  <c r="L1964" i="1" s="1"/>
  <c r="K1963" i="1" a="1"/>
  <c r="K1963" i="1" s="1"/>
  <c r="L1962" i="1" a="1"/>
  <c r="L1962" i="1" s="1"/>
  <c r="J1962" i="1" a="1"/>
  <c r="J1962" i="1" s="1"/>
  <c r="J1969" i="1" a="1"/>
  <c r="J1969" i="1" s="1"/>
  <c r="K1968" i="1" a="1"/>
  <c r="K1968" i="1" s="1"/>
  <c r="J1963" i="1" a="1"/>
  <c r="J1963" i="1" s="1"/>
  <c r="L1963" i="1" a="1"/>
  <c r="L1963" i="1" s="1"/>
  <c r="K1966" i="1" a="1"/>
  <c r="K1966" i="1" s="1"/>
  <c r="L1967" i="1" a="1"/>
  <c r="L1967" i="1" s="1"/>
  <c r="K1962" i="1" a="1"/>
  <c r="K1962" i="1" s="1"/>
  <c r="K1967" i="1" a="1"/>
  <c r="K1967" i="1" s="1"/>
  <c r="J1961" i="1" a="1"/>
  <c r="J1961" i="1" s="1"/>
  <c r="L1959" i="1" a="1"/>
  <c r="L1959" i="1" s="1"/>
  <c r="J1959" i="1" a="1"/>
  <c r="J1959" i="1" s="1"/>
  <c r="K1956" i="1" a="1"/>
  <c r="K1956" i="1" s="1"/>
  <c r="L1956" i="1" a="1"/>
  <c r="L1956" i="1" s="1"/>
  <c r="L1958" i="1" a="1"/>
  <c r="L1958" i="1" s="1"/>
  <c r="K1961" i="1" a="1"/>
  <c r="K1961" i="1" s="1"/>
  <c r="K1957" i="1" a="1"/>
  <c r="K1957" i="1" s="1"/>
  <c r="K1959" i="1" a="1"/>
  <c r="K1959" i="1" s="1"/>
  <c r="L1957" i="1" a="1"/>
  <c r="L1957" i="1" s="1"/>
  <c r="L1961" i="1" a="1"/>
  <c r="L1961" i="1" s="1"/>
  <c r="J1955" i="1" a="1"/>
  <c r="J1955" i="1" s="1"/>
  <c r="L1960" i="1" a="1"/>
  <c r="L1960" i="1" s="1"/>
  <c r="J1960" i="1" a="1"/>
  <c r="J1960" i="1" s="1"/>
  <c r="J1958" i="1" a="1"/>
  <c r="J1958" i="1" s="1"/>
  <c r="K1955" i="1" a="1"/>
  <c r="K1955" i="1" s="1"/>
  <c r="K1958" i="1" a="1"/>
  <c r="K1958" i="1" s="1"/>
  <c r="L1955" i="1" a="1"/>
  <c r="L1955" i="1" s="1"/>
  <c r="J1956" i="1" a="1"/>
  <c r="J1956" i="1" s="1"/>
  <c r="J1957" i="1" a="1"/>
  <c r="J1957" i="1" s="1"/>
  <c r="K1960" i="1" a="1"/>
  <c r="K1960" i="1" s="1"/>
  <c r="L1945" i="1" a="1"/>
  <c r="L1945" i="1" s="1"/>
  <c r="J1950" i="1" a="1"/>
  <c r="J1950" i="1" s="1"/>
  <c r="K1949" i="1" a="1"/>
  <c r="K1949" i="1" s="1"/>
  <c r="J1949" i="1" a="1"/>
  <c r="J1949" i="1" s="1"/>
  <c r="J1948" i="1" a="1"/>
  <c r="J1948" i="1" s="1"/>
  <c r="K1946" i="1" a="1"/>
  <c r="K1946" i="1" s="1"/>
  <c r="J1946" i="1" a="1"/>
  <c r="J1946" i="1" s="1"/>
  <c r="L1949" i="1" a="1"/>
  <c r="L1949" i="1" s="1"/>
  <c r="L1948" i="1" a="1"/>
  <c r="L1948" i="1" s="1"/>
  <c r="L1947" i="1" a="1"/>
  <c r="L1947" i="1" s="1"/>
  <c r="J1945" i="1" a="1"/>
  <c r="J1945" i="1" s="1"/>
  <c r="K1945" i="1" a="1"/>
  <c r="K1945" i="1" s="1"/>
  <c r="L1951" i="1" a="1"/>
  <c r="L1951" i="1" s="1"/>
  <c r="K1948" i="1" a="1"/>
  <c r="K1948" i="1" s="1"/>
  <c r="K1950" i="1" a="1"/>
  <c r="K1950" i="1" s="1"/>
  <c r="K1951" i="1" a="1"/>
  <c r="K1951" i="1" s="1"/>
  <c r="L1946" i="1" a="1"/>
  <c r="L1946" i="1" s="1"/>
  <c r="J1951" i="1" a="1"/>
  <c r="J1951" i="1" s="1"/>
  <c r="K1947" i="1" a="1"/>
  <c r="K1947" i="1" s="1"/>
  <c r="J1947" i="1" a="1"/>
  <c r="J1947" i="1" s="1"/>
  <c r="J1952" i="1" a="1"/>
  <c r="J1952" i="1" s="1"/>
  <c r="L1953" i="1" a="1"/>
  <c r="L1953" i="1" s="1"/>
  <c r="L1950" i="1" a="1"/>
  <c r="L1950" i="1" s="1"/>
  <c r="K1953" i="1" a="1"/>
  <c r="K1953" i="1" s="1"/>
  <c r="J1953" i="1" a="1"/>
  <c r="J1953" i="1" s="1"/>
  <c r="L1952" i="1" a="1"/>
  <c r="L1952" i="1" s="1"/>
  <c r="K1952" i="1" a="1"/>
  <c r="K1952" i="1" s="1"/>
  <c r="J1942" i="1" a="1"/>
  <c r="J1942" i="1" s="1"/>
  <c r="K1940" i="1" a="1"/>
  <c r="K1940" i="1" s="1"/>
  <c r="L1940" i="1" a="1"/>
  <c r="L1940" i="1" s="1"/>
  <c r="J1939" i="1" a="1"/>
  <c r="J1939" i="1" s="1"/>
  <c r="J1941" i="1" a="1"/>
  <c r="J1941" i="1" s="1"/>
  <c r="K1939" i="1" a="1"/>
  <c r="K1939" i="1" s="1"/>
  <c r="L1937" i="1" a="1"/>
  <c r="L1937" i="1" s="1"/>
  <c r="K1937" i="1" a="1"/>
  <c r="K1937" i="1" s="1"/>
  <c r="L1943" i="1" a="1"/>
  <c r="L1943" i="1" s="1"/>
  <c r="L1938" i="1" a="1"/>
  <c r="L1938" i="1" s="1"/>
  <c r="K1944" i="1" a="1"/>
  <c r="K1944" i="1" s="1"/>
  <c r="J1938" i="1" a="1"/>
  <c r="J1938" i="1" s="1"/>
  <c r="J1940" i="1" a="1"/>
  <c r="J1940" i="1" s="1"/>
  <c r="J1936" i="1" a="1"/>
  <c r="J1936" i="1" s="1"/>
  <c r="L1944" i="1" a="1"/>
  <c r="L1944" i="1" s="1"/>
  <c r="J1944" i="1" a="1"/>
  <c r="J1944" i="1" s="1"/>
  <c r="K1938" i="1" a="1"/>
  <c r="K1938" i="1" s="1"/>
  <c r="J1937" i="1" a="1"/>
  <c r="J1937" i="1" s="1"/>
  <c r="L1936" i="1" a="1"/>
  <c r="L1936" i="1" s="1"/>
  <c r="L1939" i="1" a="1"/>
  <c r="L1939" i="1" s="1"/>
  <c r="K1936" i="1" a="1"/>
  <c r="K1936" i="1" s="1"/>
  <c r="L1941" i="1" a="1"/>
  <c r="L1941" i="1" s="1"/>
  <c r="K1942" i="1" a="1"/>
  <c r="K1942" i="1" s="1"/>
  <c r="K1941" i="1" a="1"/>
  <c r="K1941" i="1" s="1"/>
  <c r="K1943" i="1" a="1"/>
  <c r="K1943" i="1" s="1"/>
  <c r="J1943" i="1" a="1"/>
  <c r="J1943" i="1" s="1"/>
  <c r="L1942" i="1" a="1"/>
  <c r="L1942" i="1" s="1"/>
  <c r="J1933" i="1" a="1"/>
  <c r="J1933" i="1" s="1"/>
  <c r="K1931" i="1" a="1"/>
  <c r="K1931" i="1" s="1"/>
  <c r="L1927" i="1" a="1"/>
  <c r="L1927" i="1" s="1"/>
  <c r="L1932" i="1" a="1"/>
  <c r="L1932" i="1" s="1"/>
  <c r="J1927" i="1" a="1"/>
  <c r="J1927" i="1" s="1"/>
  <c r="L1931" i="1" a="1"/>
  <c r="L1931" i="1" s="1"/>
  <c r="K1932" i="1" a="1"/>
  <c r="K1932" i="1" s="1"/>
  <c r="J1932" i="1" a="1"/>
  <c r="J1932" i="1" s="1"/>
  <c r="J1931" i="1" a="1"/>
  <c r="J1931" i="1" s="1"/>
  <c r="K1928" i="1" a="1"/>
  <c r="K1928" i="1" s="1"/>
  <c r="L1928" i="1" a="1"/>
  <c r="L1928" i="1" s="1"/>
  <c r="L1933" i="1" a="1"/>
  <c r="L1933" i="1" s="1"/>
  <c r="K1927" i="1" a="1"/>
  <c r="K1927" i="1" s="1"/>
  <c r="L1929" i="1" a="1"/>
  <c r="L1929" i="1" s="1"/>
  <c r="K1929" i="1" a="1"/>
  <c r="K1929" i="1" s="1"/>
  <c r="L1935" i="1" a="1"/>
  <c r="L1935" i="1" s="1"/>
  <c r="J1929" i="1" a="1"/>
  <c r="J1929" i="1" s="1"/>
  <c r="K1935" i="1" a="1"/>
  <c r="K1935" i="1" s="1"/>
  <c r="J1935" i="1" a="1"/>
  <c r="J1935" i="1" s="1"/>
  <c r="K1934" i="1" a="1"/>
  <c r="K1934" i="1" s="1"/>
  <c r="L1930" i="1" a="1"/>
  <c r="L1930" i="1" s="1"/>
  <c r="L1934" i="1" a="1"/>
  <c r="L1934" i="1" s="1"/>
  <c r="K1933" i="1" a="1"/>
  <c r="K1933" i="1" s="1"/>
  <c r="J1928" i="1" a="1"/>
  <c r="J1928" i="1" s="1"/>
  <c r="K1930" i="1" a="1"/>
  <c r="K1930" i="1" s="1"/>
  <c r="J1934" i="1" a="1"/>
  <c r="J1934" i="1" s="1"/>
  <c r="J1930" i="1" a="1"/>
  <c r="J1930" i="1" s="1"/>
  <c r="L1924" i="1" a="1"/>
  <c r="L1924" i="1" s="1"/>
  <c r="K1924" i="1" a="1"/>
  <c r="K1924" i="1" s="1"/>
  <c r="L1923" i="1" a="1"/>
  <c r="L1923" i="1" s="1"/>
  <c r="K1923" i="1" a="1"/>
  <c r="K1923" i="1" s="1"/>
  <c r="J1920" i="1" a="1"/>
  <c r="J1920" i="1" s="1"/>
  <c r="K1919" i="1" a="1"/>
  <c r="K1919" i="1" s="1"/>
  <c r="J1918" i="1" a="1"/>
  <c r="J1918" i="1" s="1"/>
  <c r="L1920" i="1" a="1"/>
  <c r="L1920" i="1" s="1"/>
  <c r="L1919" i="1" a="1"/>
  <c r="L1919" i="1" s="1"/>
  <c r="L1918" i="1" a="1"/>
  <c r="L1918" i="1" s="1"/>
  <c r="J1925" i="1" a="1"/>
  <c r="J1925" i="1" s="1"/>
  <c r="K1921" i="1" a="1"/>
  <c r="K1921" i="1" s="1"/>
  <c r="K1920" i="1" a="1"/>
  <c r="K1920" i="1" s="1"/>
  <c r="L1926" i="1" a="1"/>
  <c r="L1926" i="1" s="1"/>
  <c r="K1922" i="1" a="1"/>
  <c r="K1922" i="1" s="1"/>
  <c r="J1921" i="1" a="1"/>
  <c r="J1921" i="1" s="1"/>
  <c r="K1926" i="1" a="1"/>
  <c r="K1926" i="1" s="1"/>
  <c r="J1926" i="1" a="1"/>
  <c r="J1926" i="1" s="1"/>
  <c r="L1921" i="1" a="1"/>
  <c r="L1921" i="1" s="1"/>
  <c r="J1924" i="1" a="1"/>
  <c r="J1924" i="1" s="1"/>
  <c r="J1923" i="1" a="1"/>
  <c r="J1923" i="1" s="1"/>
  <c r="L1925" i="1" a="1"/>
  <c r="L1925" i="1" s="1"/>
  <c r="K1918" i="1" a="1"/>
  <c r="K1918" i="1" s="1"/>
  <c r="J1922" i="1" a="1"/>
  <c r="J1922" i="1" s="1"/>
  <c r="L1922" i="1" a="1"/>
  <c r="L1922" i="1" s="1"/>
  <c r="J1919" i="1" a="1"/>
  <c r="J1919" i="1" s="1"/>
  <c r="K1925" i="1" a="1"/>
  <c r="K1925" i="1" s="1"/>
  <c r="L1916" i="1" a="1"/>
  <c r="L1916" i="1" s="1"/>
  <c r="L1914" i="1" a="1"/>
  <c r="L1914" i="1" s="1"/>
  <c r="K1914" i="1" a="1"/>
  <c r="K1914" i="1" s="1"/>
  <c r="J1909" i="1" a="1"/>
  <c r="J1909" i="1" s="1"/>
  <c r="J1914" i="1" a="1"/>
  <c r="J1914" i="1" s="1"/>
  <c r="K1913" i="1" a="1"/>
  <c r="K1913" i="1" s="1"/>
  <c r="J1910" i="1" a="1"/>
  <c r="J1910" i="1" s="1"/>
  <c r="L1909" i="1" a="1"/>
  <c r="L1909" i="1" s="1"/>
  <c r="K1909" i="1" a="1"/>
  <c r="K1909" i="1" s="1"/>
  <c r="J1913" i="1" a="1"/>
  <c r="J1913" i="1" s="1"/>
  <c r="K1911" i="1" a="1"/>
  <c r="K1911" i="1" s="1"/>
  <c r="K1910" i="1" a="1"/>
  <c r="K1910" i="1" s="1"/>
  <c r="K1915" i="1" a="1"/>
  <c r="K1915" i="1" s="1"/>
  <c r="L1917" i="1" a="1"/>
  <c r="L1917" i="1" s="1"/>
  <c r="K1917" i="1" a="1"/>
  <c r="K1917" i="1" s="1"/>
  <c r="L1915" i="1" a="1"/>
  <c r="L1915" i="1" s="1"/>
  <c r="K1916" i="1" a="1"/>
  <c r="K1916" i="1" s="1"/>
  <c r="L1910" i="1" a="1"/>
  <c r="L1910" i="1" s="1"/>
  <c r="J1912" i="1" a="1"/>
  <c r="J1912" i="1" s="1"/>
  <c r="J1911" i="1" a="1"/>
  <c r="J1911" i="1" s="1"/>
  <c r="L1911" i="1" a="1"/>
  <c r="L1911" i="1" s="1"/>
  <c r="J1915" i="1" a="1"/>
  <c r="J1915" i="1" s="1"/>
  <c r="K1912" i="1" a="1"/>
  <c r="K1912" i="1" s="1"/>
  <c r="J1917" i="1" a="1"/>
  <c r="J1917" i="1" s="1"/>
  <c r="J1916" i="1" a="1"/>
  <c r="J1916" i="1" s="1"/>
  <c r="L1913" i="1" a="1"/>
  <c r="L1913" i="1" s="1"/>
  <c r="L1912" i="1" a="1"/>
  <c r="L1912" i="1" s="1"/>
  <c r="L1907" i="1" a="1"/>
  <c r="L1907" i="1" s="1"/>
  <c r="J1908" i="1" a="1"/>
  <c r="J1908" i="1" s="1"/>
  <c r="K1907" i="1" a="1"/>
  <c r="K1907" i="1" s="1"/>
  <c r="L1908" i="1" a="1"/>
  <c r="L1908" i="1" s="1"/>
  <c r="K1908" i="1" a="1"/>
  <c r="K1908" i="1" s="1"/>
  <c r="K1904" i="1" a="1"/>
  <c r="K1904" i="1" s="1"/>
  <c r="J1906" i="1" a="1"/>
  <c r="J1906" i="1" s="1"/>
  <c r="J1905" i="1" a="1"/>
  <c r="J1905" i="1" s="1"/>
  <c r="J1904" i="1" a="1"/>
  <c r="J1904" i="1" s="1"/>
  <c r="K1906" i="1" a="1"/>
  <c r="K1906" i="1" s="1"/>
  <c r="J1907" i="1" a="1"/>
  <c r="J1907" i="1" s="1"/>
  <c r="L1904" i="1" a="1"/>
  <c r="L1904" i="1" s="1"/>
  <c r="L1905" i="1" a="1"/>
  <c r="L1905" i="1" s="1"/>
  <c r="K1905" i="1" a="1"/>
  <c r="K1905" i="1" s="1"/>
  <c r="L1906" i="1" a="1"/>
  <c r="L1906" i="1" s="1"/>
  <c r="L2232" i="1" a="1"/>
  <c r="L2232" i="1" s="1"/>
  <c r="K2232" i="1" a="1"/>
  <c r="K2232" i="1" s="1"/>
  <c r="J2232" i="1" a="1"/>
  <c r="J2232" i="1" s="1"/>
  <c r="K2229" i="1" a="1"/>
  <c r="K2229" i="1" s="1"/>
  <c r="K2230" i="1" s="1" a="1"/>
  <c r="K2230" i="1" s="1"/>
  <c r="L2229" i="1" a="1"/>
  <c r="L2229" i="1" s="1"/>
  <c r="L2230" i="1" s="1" a="1"/>
  <c r="L2230" i="1" s="1"/>
  <c r="J2231" i="1" a="1"/>
  <c r="J2231" i="1" s="1"/>
  <c r="L2231" i="1" a="1"/>
  <c r="L2231" i="1" s="1"/>
  <c r="K2231" i="1" a="1"/>
  <c r="K2231" i="1" s="1"/>
  <c r="J2227" i="1" a="1"/>
  <c r="J2227" i="1" s="1"/>
  <c r="J2228" i="1" s="1" a="1"/>
  <c r="J2228" i="1" s="1"/>
  <c r="J2229" i="1" a="1"/>
  <c r="J2229" i="1" s="1"/>
  <c r="J2230" i="1" s="1" a="1"/>
  <c r="J2230" i="1" s="1"/>
  <c r="L2227" i="1" a="1"/>
  <c r="L2227" i="1" s="1"/>
  <c r="L2228" i="1" s="1" a="1"/>
  <c r="L2228" i="1" s="1"/>
  <c r="K2227" i="1" a="1"/>
  <c r="K2227" i="1" s="1"/>
  <c r="K2228" i="1" s="1" a="1"/>
  <c r="K2228" i="1" s="1"/>
  <c r="L2226" i="1" a="1"/>
  <c r="L2226" i="1" s="1"/>
  <c r="L2222" i="1" a="1"/>
  <c r="L2222" i="1" s="1"/>
  <c r="K2226" i="1" a="1"/>
  <c r="K2226" i="1" s="1"/>
  <c r="K2222" i="1" a="1"/>
  <c r="K2222" i="1" s="1"/>
  <c r="K2224" i="1" a="1"/>
  <c r="K2224" i="1" s="1"/>
  <c r="K2225" i="1" s="1" a="1"/>
  <c r="K2225" i="1" s="1"/>
  <c r="L2224" i="1" a="1"/>
  <c r="L2224" i="1" s="1"/>
  <c r="L2225" i="1" s="1" a="1"/>
  <c r="L2225" i="1" s="1"/>
  <c r="J2224" i="1" a="1"/>
  <c r="J2224" i="1" s="1"/>
  <c r="J2225" i="1" s="1" a="1"/>
  <c r="J2225" i="1" s="1"/>
  <c r="J2222" i="1" a="1"/>
  <c r="J2222" i="1" s="1"/>
  <c r="J2221" i="1" a="1"/>
  <c r="J2221" i="1" s="1"/>
  <c r="L2221" i="1" a="1"/>
  <c r="L2221" i="1" s="1"/>
  <c r="K2221" i="1" a="1"/>
  <c r="K2221" i="1" s="1"/>
  <c r="J2226" i="1" a="1"/>
  <c r="J2226" i="1" s="1"/>
  <c r="J2216" i="1" a="1"/>
  <c r="J2216" i="1" s="1"/>
  <c r="K2216" i="1" a="1"/>
  <c r="K2216" i="1" s="1"/>
  <c r="J2217" i="1" a="1"/>
  <c r="J2217" i="1" s="1"/>
  <c r="J2218" i="1" s="1" a="1"/>
  <c r="J2218" i="1" s="1"/>
  <c r="L2217" i="1" a="1"/>
  <c r="L2217" i="1" s="1"/>
  <c r="L2218" i="1" s="1" a="1"/>
  <c r="L2218" i="1" s="1"/>
  <c r="L2219" i="1" a="1"/>
  <c r="L2219" i="1" s="1"/>
  <c r="L2220" i="1" s="1" a="1"/>
  <c r="L2220" i="1" s="1"/>
  <c r="K2219" i="1" a="1"/>
  <c r="K2219" i="1" s="1"/>
  <c r="K2220" i="1" s="1" a="1"/>
  <c r="K2220" i="1" s="1"/>
  <c r="J2219" i="1" a="1"/>
  <c r="J2219" i="1" s="1"/>
  <c r="J2220" i="1" s="1" a="1"/>
  <c r="J2220" i="1" s="1"/>
  <c r="L2216" i="1" a="1"/>
  <c r="L2216" i="1" s="1"/>
  <c r="K2217" i="1" a="1"/>
  <c r="K2217" i="1" s="1"/>
  <c r="K2218" i="1" s="1" a="1"/>
  <c r="K2218" i="1" s="1"/>
  <c r="L2214" i="1" a="1"/>
  <c r="L2214" i="1" s="1"/>
  <c r="L2215" i="1" s="1" a="1"/>
  <c r="L2215" i="1" s="1"/>
  <c r="J2214" i="1" a="1"/>
  <c r="J2214" i="1" s="1"/>
  <c r="J2215" i="1" s="1" a="1"/>
  <c r="J2215" i="1" s="1"/>
  <c r="K2214" i="1" a="1"/>
  <c r="K2214" i="1" s="1"/>
  <c r="K2215" i="1" s="1" a="1"/>
  <c r="K2215" i="1" s="1"/>
  <c r="J2212" i="1" a="1"/>
  <c r="J2212" i="1" s="1"/>
  <c r="L2212" i="1" a="1"/>
  <c r="L2212" i="1" s="1"/>
  <c r="K2212" i="1" a="1"/>
  <c r="K2212" i="1" s="1"/>
  <c r="L2211" i="1" a="1"/>
  <c r="L2211" i="1" s="1"/>
  <c r="K2211" i="1" a="1"/>
  <c r="K2211" i="1" s="1"/>
  <c r="J2211" i="1" a="1"/>
  <c r="J2211" i="1" s="1"/>
  <c r="L2210" i="1" a="1"/>
  <c r="L2210" i="1" s="1"/>
  <c r="K2209" i="1" a="1"/>
  <c r="K2209" i="1" s="1"/>
  <c r="K2210" i="1" a="1"/>
  <c r="K2210" i="1" s="1"/>
  <c r="L2209" i="1" a="1"/>
  <c r="L2209" i="1" s="1"/>
  <c r="J2209" i="1" a="1"/>
  <c r="J2209" i="1" s="1"/>
  <c r="J2210" i="1" a="1"/>
  <c r="J2210" i="1" s="1"/>
  <c r="K2206" i="1" a="1"/>
  <c r="K2206" i="1" s="1"/>
  <c r="L2206" i="1" a="1"/>
  <c r="L2206" i="1" s="1"/>
  <c r="L2208" i="1" a="1"/>
  <c r="L2208" i="1" s="1"/>
  <c r="K2208" i="1" a="1"/>
  <c r="K2208" i="1" s="1"/>
  <c r="J2208" i="1" a="1"/>
  <c r="J2208" i="1" s="1"/>
  <c r="L2207" i="1" a="1"/>
  <c r="L2207" i="1" s="1"/>
  <c r="K2207" i="1" a="1"/>
  <c r="K2207" i="1" s="1"/>
  <c r="J2207" i="1" a="1"/>
  <c r="J2207" i="1" s="1"/>
  <c r="L2200" i="1" a="1"/>
  <c r="L2200" i="1" s="1"/>
  <c r="J2200" i="1" a="1"/>
  <c r="J2200" i="1" s="1"/>
  <c r="K2201" i="1" a="1"/>
  <c r="K2201" i="1" s="1"/>
  <c r="L2205" i="1" a="1"/>
  <c r="L2205" i="1" s="1"/>
  <c r="J2205" i="1" a="1"/>
  <c r="J2205" i="1" s="1"/>
  <c r="K2202" i="1" a="1"/>
  <c r="K2202" i="1" s="1"/>
  <c r="J2204" i="1" a="1"/>
  <c r="J2204" i="1" s="1"/>
  <c r="K2205" i="1" a="1"/>
  <c r="K2205" i="1" s="1"/>
  <c r="J2202" i="1" a="1"/>
  <c r="J2202" i="1" s="1"/>
  <c r="J2203" i="1" a="1"/>
  <c r="J2203" i="1" s="1"/>
  <c r="L2204" i="1" a="1"/>
  <c r="L2204" i="1" s="1"/>
  <c r="K2203" i="1" a="1"/>
  <c r="K2203" i="1" s="1"/>
  <c r="K2200" i="1" a="1"/>
  <c r="K2200" i="1" s="1"/>
  <c r="K2204" i="1" a="1"/>
  <c r="K2204" i="1" s="1"/>
  <c r="L2203" i="1" a="1"/>
  <c r="L2203" i="1" s="1"/>
  <c r="L2201" i="1" a="1"/>
  <c r="L2201" i="1" s="1"/>
  <c r="L2202" i="1" a="1"/>
  <c r="L2202" i="1" s="1"/>
  <c r="J2206" i="1" a="1"/>
  <c r="J2206" i="1" s="1"/>
  <c r="J2201" i="1" a="1"/>
  <c r="J2201" i="1" s="1"/>
  <c r="J2197" i="1" a="1"/>
  <c r="J2197" i="1" s="1"/>
  <c r="L2195" i="1" a="1"/>
  <c r="L2195" i="1" s="1"/>
  <c r="K2198" i="1" a="1"/>
  <c r="K2198" i="1" s="1"/>
  <c r="K2195" i="1" a="1"/>
  <c r="K2195" i="1" s="1"/>
  <c r="L2196" i="1" a="1"/>
  <c r="L2196" i="1" s="1"/>
  <c r="J2195" i="1" a="1"/>
  <c r="J2195" i="1" s="1"/>
  <c r="K2197" i="1" a="1"/>
  <c r="K2197" i="1" s="1"/>
  <c r="J2198" i="1" a="1"/>
  <c r="J2198" i="1" s="1"/>
  <c r="K2196" i="1" a="1"/>
  <c r="K2196" i="1" s="1"/>
  <c r="K2199" i="1" a="1"/>
  <c r="K2199" i="1" s="1"/>
  <c r="J2199" i="1" a="1"/>
  <c r="J2199" i="1" s="1"/>
  <c r="J2196" i="1" a="1"/>
  <c r="J2196" i="1" s="1"/>
  <c r="L2197" i="1" a="1"/>
  <c r="L2197" i="1" s="1"/>
  <c r="L2199" i="1" a="1"/>
  <c r="L2199" i="1" s="1"/>
  <c r="L2198" i="1" a="1"/>
  <c r="L2198" i="1" s="1"/>
  <c r="L2192" i="1" a="1"/>
  <c r="L2192" i="1" s="1"/>
  <c r="J2188" i="1" a="1"/>
  <c r="J2188" i="1" s="1"/>
  <c r="K2194" i="1" a="1"/>
  <c r="K2194" i="1" s="1"/>
  <c r="L2193" i="1" a="1"/>
  <c r="L2193" i="1" s="1"/>
  <c r="L2190" i="1" a="1"/>
  <c r="L2190" i="1" s="1"/>
  <c r="K2188" i="1" a="1"/>
  <c r="K2188" i="1" s="1"/>
  <c r="J2193" i="1" a="1"/>
  <c r="J2193" i="1" s="1"/>
  <c r="J2192" i="1" a="1"/>
  <c r="J2192" i="1" s="1"/>
  <c r="L2191" i="1" a="1"/>
  <c r="L2191" i="1" s="1"/>
  <c r="J2190" i="1" a="1"/>
  <c r="J2190" i="1" s="1"/>
  <c r="L2188" i="1" a="1"/>
  <c r="L2188" i="1" s="1"/>
  <c r="K2192" i="1" a="1"/>
  <c r="K2192" i="1" s="1"/>
  <c r="K2190" i="1" a="1"/>
  <c r="K2190" i="1" s="1"/>
  <c r="K2193" i="1" a="1"/>
  <c r="K2193" i="1" s="1"/>
  <c r="J2194" i="1" a="1"/>
  <c r="J2194" i="1" s="1"/>
  <c r="L2194" i="1" a="1"/>
  <c r="L2194" i="1" s="1"/>
  <c r="K2191" i="1" a="1"/>
  <c r="K2191" i="1" s="1"/>
  <c r="J2191" i="1" a="1"/>
  <c r="J2191" i="1" s="1"/>
  <c r="K2187" i="1" a="1"/>
  <c r="K2187" i="1" s="1"/>
  <c r="K2186" i="1" a="1"/>
  <c r="K2186" i="1" s="1"/>
  <c r="J2187" i="1" a="1"/>
  <c r="J2187" i="1" s="1"/>
  <c r="L2186" i="1" a="1"/>
  <c r="L2186" i="1" s="1"/>
  <c r="J2186" i="1" a="1"/>
  <c r="J2186" i="1" s="1"/>
  <c r="L2187" i="1" a="1"/>
  <c r="L2187" i="1" s="1"/>
  <c r="J2183" i="1" a="1"/>
  <c r="J2183" i="1" s="1"/>
  <c r="L2182" i="1" a="1"/>
  <c r="L2182" i="1" s="1"/>
  <c r="L2183" i="1" a="1"/>
  <c r="L2183" i="1" s="1"/>
  <c r="K2182" i="1" a="1"/>
  <c r="K2182" i="1" s="1"/>
  <c r="K2185" i="1" a="1"/>
  <c r="K2185" i="1" s="1"/>
  <c r="J2182" i="1" a="1"/>
  <c r="J2182" i="1" s="1"/>
  <c r="K2183" i="1" a="1"/>
  <c r="K2183" i="1" s="1"/>
  <c r="K2184" i="1" a="1"/>
  <c r="K2184" i="1" s="1"/>
  <c r="L2185" i="1" a="1"/>
  <c r="L2185" i="1" s="1"/>
  <c r="J2185" i="1" a="1"/>
  <c r="J2185" i="1" s="1"/>
  <c r="J2181" i="1" a="1"/>
  <c r="J2181" i="1" s="1"/>
  <c r="L2184" i="1" a="1"/>
  <c r="L2184" i="1" s="1"/>
  <c r="J2184" i="1" a="1"/>
  <c r="J2184" i="1" s="1"/>
  <c r="K2181" i="1" a="1"/>
  <c r="K2181" i="1" s="1"/>
  <c r="L2181" i="1" a="1"/>
  <c r="L2181" i="1" s="1"/>
  <c r="K2180" i="1" a="1"/>
  <c r="K2180" i="1" s="1"/>
  <c r="J2180" i="1" a="1"/>
  <c r="J2180" i="1" s="1"/>
  <c r="L2180" i="1" a="1"/>
  <c r="L2180" i="1" s="1"/>
  <c r="K2179" i="1" a="1"/>
  <c r="K2179" i="1" s="1"/>
  <c r="J2179" i="1" a="1"/>
  <c r="J2179" i="1" s="1"/>
  <c r="L2179" i="1" a="1"/>
  <c r="L2179" i="1" s="1"/>
  <c r="L2178" i="1" a="1"/>
  <c r="L2178" i="1" s="1"/>
  <c r="K2172" i="1" a="1"/>
  <c r="K2172" i="1" s="1"/>
  <c r="K2174" i="1" a="1"/>
  <c r="K2174" i="1" s="1"/>
  <c r="L2171" i="1" a="1"/>
  <c r="L2171" i="1" s="1"/>
  <c r="K2175" i="1" a="1"/>
  <c r="K2175" i="1" s="1"/>
  <c r="K2178" i="1" a="1"/>
  <c r="K2178" i="1" s="1"/>
  <c r="J2170" i="1" a="1"/>
  <c r="J2170" i="1" s="1"/>
  <c r="L2172" i="1" a="1"/>
  <c r="L2172" i="1" s="1"/>
  <c r="L2174" i="1" a="1"/>
  <c r="L2174" i="1" s="1"/>
  <c r="L2177" i="1" a="1"/>
  <c r="L2177" i="1" s="1"/>
  <c r="K2171" i="1" a="1"/>
  <c r="K2171" i="1" s="1"/>
  <c r="J2177" i="1" a="1"/>
  <c r="J2177" i="1" s="1"/>
  <c r="J2173" i="1" a="1"/>
  <c r="J2173" i="1" s="1"/>
  <c r="J2175" i="1" a="1"/>
  <c r="J2175" i="1" s="1"/>
  <c r="J2178" i="1" a="1"/>
  <c r="J2178" i="1" s="1"/>
  <c r="K2177" i="1" a="1"/>
  <c r="K2177" i="1" s="1"/>
  <c r="J2174" i="1" a="1"/>
  <c r="J2174" i="1" s="1"/>
  <c r="J2172" i="1" a="1"/>
  <c r="J2172" i="1" s="1"/>
  <c r="L2170" i="1" a="1"/>
  <c r="L2170" i="1" s="1"/>
  <c r="K2170" i="1" a="1"/>
  <c r="K2170" i="1" s="1"/>
  <c r="L2176" i="1" a="1"/>
  <c r="L2176" i="1" s="1"/>
  <c r="J2171" i="1" a="1"/>
  <c r="J2171" i="1" s="1"/>
  <c r="K2176" i="1" a="1"/>
  <c r="K2176" i="1" s="1"/>
  <c r="J2176" i="1" a="1"/>
  <c r="J2176" i="1" s="1"/>
  <c r="K2173" i="1" a="1"/>
  <c r="K2173" i="1" s="1"/>
  <c r="L2175" i="1" a="1"/>
  <c r="L2175" i="1" s="1"/>
  <c r="L2173" i="1" a="1"/>
  <c r="L2173" i="1" s="1"/>
  <c r="J2162" i="1" a="1"/>
  <c r="J2162" i="1" s="1"/>
  <c r="K2161" i="1" a="1"/>
  <c r="K2161" i="1" s="1"/>
  <c r="L2167" i="1" a="1"/>
  <c r="L2167" i="1" s="1"/>
  <c r="K2166" i="1" a="1"/>
  <c r="K2166" i="1" s="1"/>
  <c r="L2163" i="1" a="1"/>
  <c r="L2163" i="1" s="1"/>
  <c r="J2168" i="1" a="1"/>
  <c r="J2168" i="1" s="1"/>
  <c r="J2164" i="1" a="1"/>
  <c r="J2164" i="1" s="1"/>
  <c r="L2169" i="1" a="1"/>
  <c r="L2169" i="1" s="1"/>
  <c r="K2168" i="1" a="1"/>
  <c r="K2168" i="1" s="1"/>
  <c r="L2166" i="1" a="1"/>
  <c r="L2166" i="1" s="1"/>
  <c r="K2169" i="1" a="1"/>
  <c r="K2169" i="1" s="1"/>
  <c r="J2169" i="1" a="1"/>
  <c r="J2169" i="1" s="1"/>
  <c r="J2161" i="1" a="1"/>
  <c r="J2161" i="1" s="1"/>
  <c r="J2167" i="1" a="1"/>
  <c r="J2167" i="1" s="1"/>
  <c r="K2162" i="1" a="1"/>
  <c r="K2162" i="1" s="1"/>
  <c r="L2168" i="1" a="1"/>
  <c r="L2168" i="1" s="1"/>
  <c r="J2163" i="1" a="1"/>
  <c r="J2163" i="1" s="1"/>
  <c r="L2161" i="1" a="1"/>
  <c r="L2161" i="1" s="1"/>
  <c r="K2163" i="1" a="1"/>
  <c r="K2163" i="1" s="1"/>
  <c r="K2167" i="1" a="1"/>
  <c r="K2167" i="1" s="1"/>
  <c r="J2166" i="1" a="1"/>
  <c r="J2166" i="1" s="1"/>
  <c r="L2164" i="1" a="1"/>
  <c r="L2164" i="1" s="1"/>
  <c r="L2162" i="1" a="1"/>
  <c r="L2162" i="1" s="1"/>
  <c r="K2164" i="1" a="1"/>
  <c r="K2164" i="1" s="1"/>
  <c r="J2016" i="1" a="1"/>
  <c r="J2016" i="1" s="1"/>
  <c r="J2017" i="1" s="1" a="1"/>
  <c r="J2017" i="1" s="1"/>
  <c r="J2013" i="1" a="1"/>
  <c r="J2013" i="1" s="1"/>
  <c r="J2014" i="1" s="1" a="1"/>
  <c r="J2014" i="1" s="1"/>
  <c r="K2013" i="1" a="1"/>
  <c r="K2013" i="1" s="1"/>
  <c r="K2014" i="1" s="1" a="1"/>
  <c r="K2014" i="1" s="1"/>
  <c r="L2011" i="1" a="1"/>
  <c r="L2011" i="1" s="1"/>
  <c r="K2016" i="1" a="1"/>
  <c r="K2016" i="1" s="1"/>
  <c r="K2017" i="1" s="1" a="1"/>
  <c r="K2017" i="1" s="1"/>
  <c r="L2015" i="1" a="1"/>
  <c r="L2015" i="1" s="1"/>
  <c r="L2016" i="1" a="1"/>
  <c r="L2016" i="1" s="1"/>
  <c r="L2017" i="1" s="1" a="1"/>
  <c r="L2017" i="1" s="1"/>
  <c r="L2018" i="1" a="1"/>
  <c r="L2018" i="1" s="1"/>
  <c r="K2018" i="1" a="1"/>
  <c r="K2018" i="1" s="1"/>
  <c r="J2018" i="1" a="1"/>
  <c r="J2018" i="1" s="1"/>
  <c r="J2019" i="1" s="1" a="1"/>
  <c r="J2019" i="1" s="1"/>
  <c r="L2013" i="1" a="1"/>
  <c r="L2013" i="1" s="1"/>
  <c r="L2014" i="1" s="1" a="1"/>
  <c r="L2014" i="1" s="1"/>
  <c r="K2015" i="1" a="1"/>
  <c r="K2015" i="1" s="1"/>
  <c r="J2015" i="1" a="1"/>
  <c r="J2015" i="1" s="1"/>
  <c r="L2006" i="1" a="1"/>
  <c r="L2006" i="1" s="1"/>
  <c r="L2007" i="1" s="1" a="1"/>
  <c r="L2007" i="1" s="1"/>
  <c r="K2003" i="1" a="1"/>
  <c r="K2003" i="1" s="1"/>
  <c r="K2004" i="1" s="1" a="1"/>
  <c r="K2004" i="1" s="1"/>
  <c r="J2005" i="1" a="1"/>
  <c r="J2005" i="1" s="1"/>
  <c r="J2003" i="1" a="1"/>
  <c r="J2003" i="1" s="1"/>
  <c r="J2004" i="1" s="1" a="1"/>
  <c r="J2004" i="1" s="1"/>
  <c r="K2006" i="1" a="1"/>
  <c r="K2006" i="1" s="1"/>
  <c r="K2007" i="1" s="1" a="1"/>
  <c r="K2007" i="1" s="1"/>
  <c r="K2011" i="1" a="1"/>
  <c r="K2011" i="1" s="1"/>
  <c r="K2005" i="1" a="1"/>
  <c r="K2005" i="1" s="1"/>
  <c r="L2010" i="1" a="1"/>
  <c r="L2010" i="1" s="1"/>
  <c r="J2010" i="1" a="1"/>
  <c r="J2010" i="1" s="1"/>
  <c r="K2008" i="1" a="1"/>
  <c r="K2008" i="1" s="1"/>
  <c r="K2009" i="1" s="1" a="1"/>
  <c r="K2009" i="1" s="1"/>
  <c r="J2011" i="1" a="1"/>
  <c r="J2011" i="1" s="1"/>
  <c r="L2008" i="1" a="1"/>
  <c r="L2008" i="1" s="1"/>
  <c r="L2009" i="1" s="1" a="1"/>
  <c r="L2009" i="1" s="1"/>
  <c r="K2010" i="1" a="1"/>
  <c r="K2010" i="1" s="1"/>
  <c r="J2006" i="1" a="1"/>
  <c r="J2006" i="1" s="1"/>
  <c r="J2007" i="1" s="1" a="1"/>
  <c r="J2007" i="1" s="1"/>
  <c r="L2003" i="1" a="1"/>
  <c r="L2003" i="1" s="1"/>
  <c r="L2004" i="1" s="1" a="1"/>
  <c r="L2004" i="1" s="1"/>
  <c r="L2005" i="1" a="1"/>
  <c r="L2005" i="1" s="1"/>
  <c r="J2008" i="1" a="1"/>
  <c r="J2008" i="1" s="1"/>
  <c r="J2009" i="1" s="1" a="1"/>
  <c r="J2009" i="1" s="1"/>
  <c r="L2000" i="1" a="1"/>
  <c r="L2000" i="1" s="1"/>
  <c r="L1994" i="1" a="1"/>
  <c r="L1994" i="1" s="1"/>
  <c r="K2000" i="1" a="1"/>
  <c r="K2000" i="1" s="1"/>
  <c r="J1997" i="1" a="1"/>
  <c r="J1997" i="1" s="1"/>
  <c r="L1996" i="1" a="1"/>
  <c r="L1996" i="1" s="1"/>
  <c r="K1994" i="1" a="1"/>
  <c r="K1994" i="1" s="1"/>
  <c r="K1999" i="1" a="1"/>
  <c r="K1999" i="1" s="1"/>
  <c r="J1994" i="1" a="1"/>
  <c r="J1994" i="1" s="1"/>
  <c r="K1995" i="1" a="1"/>
  <c r="K1995" i="1" s="1"/>
  <c r="J1995" i="1" a="1"/>
  <c r="J1995" i="1" s="1"/>
  <c r="K1993" i="1" a="1"/>
  <c r="K1993" i="1" s="1"/>
  <c r="K1998" i="1" a="1"/>
  <c r="K1998" i="1" s="1"/>
  <c r="L1993" i="1" a="1"/>
  <c r="L1993" i="1" s="1"/>
  <c r="J1993" i="1" a="1"/>
  <c r="J1993" i="1" s="1"/>
  <c r="J2000" i="1" a="1"/>
  <c r="J2000" i="1" s="1"/>
  <c r="J1996" i="1" a="1"/>
  <c r="J1996" i="1" s="1"/>
  <c r="L1999" i="1" a="1"/>
  <c r="L1999" i="1" s="1"/>
  <c r="J1999" i="1" a="1"/>
  <c r="J1999" i="1" s="1"/>
  <c r="J1998" i="1" a="1"/>
  <c r="J1998" i="1" s="1"/>
  <c r="L1995" i="1" a="1"/>
  <c r="L1995" i="1" s="1"/>
  <c r="J2001" i="1" a="1"/>
  <c r="J2001" i="1" s="1"/>
  <c r="L2001" i="1" a="1"/>
  <c r="L2001" i="1" s="1"/>
  <c r="K2001" i="1" a="1"/>
  <c r="K2001" i="1" s="1"/>
  <c r="L1997" i="1" a="1"/>
  <c r="L1997" i="1" s="1"/>
  <c r="K1997" i="1" a="1"/>
  <c r="K1997" i="1" s="1"/>
  <c r="L1998" i="1" a="1"/>
  <c r="L1998" i="1" s="1"/>
  <c r="K1996" i="1" a="1"/>
  <c r="K1996" i="1" s="1"/>
  <c r="K2154" i="1" a="1"/>
  <c r="K2154" i="1" s="1"/>
  <c r="K2160" i="1" a="1"/>
  <c r="K2160" i="1" s="1"/>
  <c r="L2160" i="1" a="1"/>
  <c r="L2160" i="1" s="1"/>
  <c r="J2160" i="1" a="1"/>
  <c r="J2160" i="1" s="1"/>
  <c r="K2158" i="1" a="1"/>
  <c r="K2158" i="1" s="1"/>
  <c r="J2156" i="1" a="1"/>
  <c r="J2156" i="1" s="1"/>
  <c r="L2155" i="1" a="1"/>
  <c r="L2155" i="1" s="1"/>
  <c r="K2155" i="1" a="1"/>
  <c r="K2155" i="1" s="1"/>
  <c r="K2157" i="1" a="1"/>
  <c r="K2157" i="1" s="1"/>
  <c r="L2156" i="1" a="1"/>
  <c r="L2156" i="1" s="1"/>
  <c r="L2153" i="1" a="1"/>
  <c r="L2153" i="1" s="1"/>
  <c r="K2159" i="1" a="1"/>
  <c r="K2159" i="1" s="1"/>
  <c r="J2157" i="1" a="1"/>
  <c r="J2157" i="1" s="1"/>
  <c r="L2159" i="1" a="1"/>
  <c r="L2159" i="1" s="1"/>
  <c r="J2159" i="1" a="1"/>
  <c r="J2159" i="1" s="1"/>
  <c r="J2154" i="1" a="1"/>
  <c r="J2154" i="1" s="1"/>
  <c r="J2158" i="1" a="1"/>
  <c r="J2158" i="1" s="1"/>
  <c r="L2154" i="1" a="1"/>
  <c r="L2154" i="1" s="1"/>
  <c r="J2153" i="1" a="1"/>
  <c r="J2153" i="1" s="1"/>
  <c r="J2155" i="1" a="1"/>
  <c r="J2155" i="1" s="1"/>
  <c r="K2152" i="1" a="1"/>
  <c r="K2152" i="1" s="1"/>
  <c r="L2152" i="1" a="1"/>
  <c r="L2152" i="1" s="1"/>
  <c r="J2152" i="1" a="1"/>
  <c r="J2152" i="1" s="1"/>
  <c r="L2158" i="1" a="1"/>
  <c r="L2158" i="1" s="1"/>
  <c r="K2156" i="1" a="1"/>
  <c r="K2156" i="1" s="1"/>
  <c r="K2153" i="1" a="1"/>
  <c r="K2153" i="1" s="1"/>
  <c r="L2157" i="1" a="1"/>
  <c r="L2157" i="1" s="1"/>
  <c r="J2149" i="1" a="1"/>
  <c r="J2149" i="1" s="1"/>
  <c r="J2147" i="1" a="1"/>
  <c r="J2147" i="1" s="1"/>
  <c r="K2146" i="1" a="1"/>
  <c r="K2146" i="1" s="1"/>
  <c r="J2143" i="1" a="1"/>
  <c r="J2143" i="1" s="1"/>
  <c r="K2144" i="1" a="1"/>
  <c r="K2144" i="1" s="1"/>
  <c r="L2146" i="1" a="1"/>
  <c r="L2146" i="1" s="1"/>
  <c r="J2144" i="1" a="1"/>
  <c r="J2144" i="1" s="1"/>
  <c r="L2143" i="1" a="1"/>
  <c r="L2143" i="1" s="1"/>
  <c r="J2145" i="1" a="1"/>
  <c r="J2145" i="1" s="1"/>
  <c r="L2150" i="1" a="1"/>
  <c r="L2150" i="1" s="1"/>
  <c r="J2150" i="1" a="1"/>
  <c r="J2150" i="1" s="1"/>
  <c r="K2147" i="1" a="1"/>
  <c r="K2147" i="1" s="1"/>
  <c r="L2149" i="1" a="1"/>
  <c r="L2149" i="1" s="1"/>
  <c r="L2148" i="1" a="1"/>
  <c r="L2148" i="1" s="1"/>
  <c r="K2148" i="1" a="1"/>
  <c r="K2148" i="1" s="1"/>
  <c r="L2147" i="1" a="1"/>
  <c r="L2147" i="1" s="1"/>
  <c r="L2151" i="1" a="1"/>
  <c r="L2151" i="1" s="1"/>
  <c r="K2151" i="1" a="1"/>
  <c r="K2151" i="1" s="1"/>
  <c r="K2145" i="1" a="1"/>
  <c r="K2145" i="1" s="1"/>
  <c r="J2146" i="1" a="1"/>
  <c r="J2146" i="1" s="1"/>
  <c r="J2151" i="1" a="1"/>
  <c r="J2151" i="1" s="1"/>
  <c r="K2143" i="1" a="1"/>
  <c r="K2143" i="1" s="1"/>
  <c r="J2148" i="1" a="1"/>
  <c r="J2148" i="1" s="1"/>
  <c r="L2145" i="1" a="1"/>
  <c r="L2145" i="1" s="1"/>
  <c r="K2149" i="1" a="1"/>
  <c r="K2149" i="1" s="1"/>
  <c r="K2150" i="1" a="1"/>
  <c r="K2150" i="1" s="1"/>
  <c r="L2144" i="1" a="1"/>
  <c r="L2144" i="1" s="1"/>
  <c r="K2141" i="1" a="1"/>
  <c r="K2141" i="1" s="1"/>
  <c r="K2138" i="1" a="1"/>
  <c r="K2138" i="1" s="1"/>
  <c r="K2139" i="1" a="1"/>
  <c r="K2139" i="1" s="1"/>
  <c r="L2142" i="1" a="1"/>
  <c r="L2142" i="1" s="1"/>
  <c r="J2141" i="1" a="1"/>
  <c r="J2141" i="1" s="1"/>
  <c r="K2142" i="1" a="1"/>
  <c r="K2142" i="1" s="1"/>
  <c r="J2137" i="1" a="1"/>
  <c r="J2137" i="1" s="1"/>
  <c r="L2141" i="1" a="1"/>
  <c r="L2141" i="1" s="1"/>
  <c r="L2140" i="1" a="1"/>
  <c r="L2140" i="1" s="1"/>
  <c r="L2137" i="1" a="1"/>
  <c r="L2137" i="1" s="1"/>
  <c r="J2138" i="1" a="1"/>
  <c r="J2138" i="1" s="1"/>
  <c r="J2140" i="1" a="1"/>
  <c r="J2140" i="1" s="1"/>
  <c r="L2139" i="1" a="1"/>
  <c r="L2139" i="1" s="1"/>
  <c r="J2142" i="1" a="1"/>
  <c r="J2142" i="1" s="1"/>
  <c r="K2140" i="1" a="1"/>
  <c r="K2140" i="1" s="1"/>
  <c r="K2137" i="1" a="1"/>
  <c r="K2137" i="1" s="1"/>
  <c r="J2139" i="1" a="1"/>
  <c r="J2139" i="1" s="1"/>
  <c r="L2138" i="1" a="1"/>
  <c r="L2138" i="1" s="1"/>
  <c r="L2130" i="1" a="1"/>
  <c r="L2130" i="1" s="1"/>
  <c r="K2134" i="1" a="1"/>
  <c r="K2134" i="1" s="1"/>
  <c r="K2133" i="1" a="1"/>
  <c r="K2133" i="1" s="1"/>
  <c r="J2130" i="1" a="1"/>
  <c r="J2130" i="1" s="1"/>
  <c r="J2133" i="1" a="1"/>
  <c r="J2133" i="1" s="1"/>
  <c r="K2131" i="1" a="1"/>
  <c r="K2131" i="1" s="1"/>
  <c r="K2130" i="1" a="1"/>
  <c r="K2130" i="1" s="1"/>
  <c r="K2128" i="1" a="1"/>
  <c r="K2128" i="1" s="1"/>
  <c r="L2135" i="1" a="1"/>
  <c r="L2135" i="1" s="1"/>
  <c r="L2136" i="1" a="1"/>
  <c r="L2136" i="1" s="1"/>
  <c r="K2136" i="1" a="1"/>
  <c r="K2136" i="1" s="1"/>
  <c r="J2136" i="1" a="1"/>
  <c r="J2136" i="1" s="1"/>
  <c r="L2131" i="1" a="1"/>
  <c r="L2131" i="1" s="1"/>
  <c r="L2133" i="1" a="1"/>
  <c r="L2133" i="1" s="1"/>
  <c r="L2128" i="1" a="1"/>
  <c r="L2128" i="1" s="1"/>
  <c r="J2131" i="1" a="1"/>
  <c r="J2131" i="1" s="1"/>
  <c r="K2132" i="1" a="1"/>
  <c r="K2132" i="1" s="1"/>
  <c r="K2135" i="1" a="1"/>
  <c r="K2135" i="1" s="1"/>
  <c r="K2129" i="1" a="1"/>
  <c r="K2129" i="1" s="1"/>
  <c r="J2128" i="1" a="1"/>
  <c r="J2128" i="1" s="1"/>
  <c r="L2129" i="1" a="1"/>
  <c r="L2129" i="1" s="1"/>
  <c r="J2135" i="1" a="1"/>
  <c r="J2135" i="1" s="1"/>
  <c r="L2132" i="1" a="1"/>
  <c r="L2132" i="1" s="1"/>
  <c r="J2129" i="1" a="1"/>
  <c r="J2129" i="1" s="1"/>
  <c r="J2132" i="1" a="1"/>
  <c r="J2132" i="1" s="1"/>
  <c r="L2134" i="1" a="1"/>
  <c r="L2134" i="1" s="1"/>
  <c r="J2134" i="1" a="1"/>
  <c r="J2134" i="1" s="1"/>
  <c r="K2127" i="1" a="1"/>
  <c r="K2127" i="1" s="1"/>
  <c r="J2119" i="1" a="1"/>
  <c r="J2119" i="1" s="1"/>
  <c r="J2127" i="1" a="1"/>
  <c r="J2127" i="1" s="1"/>
  <c r="K2124" i="1" a="1"/>
  <c r="K2124" i="1" s="1"/>
  <c r="L2123" i="1" a="1"/>
  <c r="L2123" i="1" s="1"/>
  <c r="L2118" i="1" a="1"/>
  <c r="L2118" i="1" s="1"/>
  <c r="K2122" i="1" a="1"/>
  <c r="K2122" i="1" s="1"/>
  <c r="L2120" i="1" a="1"/>
  <c r="L2120" i="1" s="1"/>
  <c r="J2121" i="1" a="1"/>
  <c r="J2121" i="1" s="1"/>
  <c r="L2121" i="1" a="1"/>
  <c r="L2121" i="1" s="1"/>
  <c r="K2119" i="1" a="1"/>
  <c r="K2119" i="1" s="1"/>
  <c r="L2125" i="1" a="1"/>
  <c r="L2125" i="1" s="1"/>
  <c r="J2122" i="1" a="1"/>
  <c r="J2122" i="1" s="1"/>
  <c r="L2126" i="1" a="1"/>
  <c r="L2126" i="1" s="1"/>
  <c r="K2120" i="1" a="1"/>
  <c r="K2120" i="1" s="1"/>
  <c r="J2125" i="1" a="1"/>
  <c r="J2125" i="1" s="1"/>
  <c r="L2122" i="1" a="1"/>
  <c r="L2122" i="1" s="1"/>
  <c r="K2126" i="1" a="1"/>
  <c r="K2126" i="1" s="1"/>
  <c r="J2124" i="1" a="1"/>
  <c r="J2124" i="1" s="1"/>
  <c r="K2123" i="1" a="1"/>
  <c r="K2123" i="1" s="1"/>
  <c r="K2125" i="1" a="1"/>
  <c r="K2125" i="1" s="1"/>
  <c r="J2123" i="1" a="1"/>
  <c r="J2123" i="1" s="1"/>
  <c r="L2119" i="1" a="1"/>
  <c r="L2119" i="1" s="1"/>
  <c r="L2124" i="1" a="1"/>
  <c r="L2124" i="1" s="1"/>
  <c r="K2121" i="1" a="1"/>
  <c r="K2121" i="1" s="1"/>
  <c r="J2120" i="1" a="1"/>
  <c r="J2120" i="1" s="1"/>
  <c r="J2126" i="1" a="1"/>
  <c r="J2126" i="1" s="1"/>
  <c r="L2127" i="1" a="1"/>
  <c r="L2127" i="1" s="1"/>
  <c r="L2115" i="1" a="1"/>
  <c r="L2115" i="1" s="1"/>
  <c r="L2116" i="1" a="1"/>
  <c r="L2116" i="1" s="1"/>
  <c r="K2115" i="1" a="1"/>
  <c r="K2115" i="1" s="1"/>
  <c r="K2118" i="1" a="1"/>
  <c r="K2118" i="1" s="1"/>
  <c r="L2117" i="1" a="1"/>
  <c r="L2117" i="1" s="1"/>
  <c r="J2116" i="1" a="1"/>
  <c r="J2116" i="1" s="1"/>
  <c r="J2118" i="1" a="1"/>
  <c r="J2118" i="1" s="1"/>
  <c r="K2117" i="1" a="1"/>
  <c r="K2117" i="1" s="1"/>
  <c r="J2117" i="1" a="1"/>
  <c r="J2117" i="1" s="1"/>
  <c r="K2116" i="1" a="1"/>
  <c r="K2116" i="1" s="1"/>
  <c r="J2115" i="1" a="1"/>
  <c r="J2115" i="1" s="1"/>
  <c r="K2020" i="1" a="1"/>
  <c r="K2020" i="1" s="1"/>
  <c r="K2019" i="1" a="1"/>
  <c r="K2019" i="1" s="1"/>
  <c r="L2021" i="1" a="1"/>
  <c r="L2021" i="1" s="1"/>
  <c r="J2021" i="1" a="1"/>
  <c r="J2021" i="1" s="1"/>
  <c r="J2020" i="1" a="1"/>
  <c r="J2020" i="1" s="1"/>
  <c r="L2020" i="1" a="1"/>
  <c r="L2020" i="1" s="1"/>
  <c r="L2019" i="1" a="1"/>
  <c r="L2019" i="1" s="1"/>
  <c r="K2021" i="1" a="1"/>
  <c r="K2021" i="1" s="1"/>
  <c r="L1138" i="1" a="1"/>
  <c r="L1138" i="1" s="1"/>
  <c r="K1138" i="1" a="1"/>
  <c r="K1138" i="1" s="1"/>
  <c r="J1138" i="1" a="1"/>
  <c r="J1138" i="1" s="1"/>
  <c r="K1139" i="1" a="1"/>
  <c r="K1139" i="1" s="1"/>
  <c r="J1139" i="1" a="1"/>
  <c r="J1139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1041" i="1" a="1"/>
  <c r="K1041" i="1" s="1"/>
  <c r="J1041" i="1" a="1"/>
  <c r="J1041" i="1" s="1"/>
  <c r="J1039" i="1" a="1"/>
  <c r="J1039" i="1" s="1"/>
  <c r="K1039" i="1" a="1"/>
  <c r="K1039" i="1" s="1"/>
  <c r="L1039" i="1" a="1"/>
  <c r="L1039" i="1" s="1"/>
  <c r="L1041" i="1" a="1"/>
  <c r="L1041" i="1" s="1"/>
  <c r="L1029" i="1" a="1"/>
  <c r="L1029" i="1" s="1"/>
  <c r="K1029" i="1" a="1"/>
  <c r="K1029" i="1" s="1"/>
  <c r="K1024" i="1" a="1"/>
  <c r="K1024" i="1" s="1"/>
  <c r="L1027" i="1" a="1"/>
  <c r="L1027" i="1" s="1"/>
  <c r="J1027" i="1" a="1"/>
  <c r="J1027" i="1" s="1"/>
  <c r="K1027" i="1" a="1"/>
  <c r="K1027" i="1" s="1"/>
  <c r="L1032" i="1" a="1"/>
  <c r="L1032" i="1" s="1"/>
  <c r="L1024" i="1" a="1"/>
  <c r="L1024" i="1" s="1"/>
  <c r="J1024" i="1" a="1"/>
  <c r="J1024" i="1" s="1"/>
  <c r="K1032" i="1" a="1"/>
  <c r="K1032" i="1" s="1"/>
  <c r="J1032" i="1" a="1"/>
  <c r="J1032" i="1" s="1"/>
  <c r="J1029" i="1" a="1"/>
  <c r="J1029" i="1" s="1"/>
  <c r="L999" i="1" a="1"/>
  <c r="L999" i="1" s="1"/>
  <c r="L1051" i="1" s="1" a="1"/>
  <c r="L1051" i="1" s="1"/>
  <c r="K999" i="1" a="1"/>
  <c r="K999" i="1" s="1"/>
  <c r="K1051" i="1" s="1" a="1"/>
  <c r="K1051" i="1" s="1"/>
  <c r="J999" i="1" a="1"/>
  <c r="J999" i="1" s="1"/>
  <c r="J1051" i="1" s="1" a="1"/>
  <c r="J1051" i="1" s="1"/>
  <c r="K998" i="1" a="1"/>
  <c r="K998" i="1" s="1"/>
  <c r="L998" i="1" a="1"/>
  <c r="L998" i="1" s="1"/>
  <c r="L1008" i="1" a="1"/>
  <c r="L1008" i="1" s="1"/>
  <c r="L1054" i="1" s="1" a="1"/>
  <c r="L1054" i="1" s="1"/>
  <c r="J998" i="1" a="1"/>
  <c r="J998" i="1" s="1"/>
  <c r="K1008" i="1" a="1"/>
  <c r="K1008" i="1" s="1"/>
  <c r="K1054" i="1" s="1" a="1"/>
  <c r="K1054" i="1" s="1"/>
  <c r="J1008" i="1" a="1"/>
  <c r="J1008" i="1" s="1"/>
  <c r="J1054" i="1" s="1" a="1"/>
  <c r="J1054" i="1" s="1"/>
  <c r="L979" i="1" a="1"/>
  <c r="L979" i="1" s="1"/>
  <c r="L1053" i="1" s="1" a="1"/>
  <c r="L1053" i="1" s="1"/>
  <c r="J979" i="1" a="1"/>
  <c r="J979" i="1" s="1"/>
  <c r="J1053" i="1" s="1" a="1"/>
  <c r="J1053" i="1" s="1"/>
  <c r="J985" i="1" a="1"/>
  <c r="J985" i="1" s="1"/>
  <c r="L978" i="1" a="1"/>
  <c r="L978" i="1" s="1"/>
  <c r="K991" i="1" a="1"/>
  <c r="K991" i="1" s="1"/>
  <c r="L991" i="1" a="1"/>
  <c r="L991" i="1" s="1"/>
  <c r="J991" i="1" a="1"/>
  <c r="J991" i="1" s="1"/>
  <c r="L985" i="1" a="1"/>
  <c r="L985" i="1" s="1"/>
  <c r="K985" i="1" a="1"/>
  <c r="K985" i="1" s="1"/>
  <c r="K978" i="1" a="1"/>
  <c r="K978" i="1" s="1"/>
  <c r="J978" i="1" a="1"/>
  <c r="J978" i="1" s="1"/>
  <c r="K979" i="1" a="1"/>
  <c r="K979" i="1" s="1"/>
  <c r="K1053" i="1" s="1" a="1"/>
  <c r="K1053" i="1" s="1"/>
  <c r="K976" i="1" a="1"/>
  <c r="K976" i="1" s="1"/>
  <c r="J975" i="1" a="1"/>
  <c r="J975" i="1" s="1"/>
  <c r="K975" i="1" a="1"/>
  <c r="K975" i="1" s="1"/>
  <c r="J976" i="1" a="1"/>
  <c r="J976" i="1" s="1"/>
  <c r="L976" i="1" a="1"/>
  <c r="L976" i="1" s="1"/>
  <c r="L975" i="1" a="1"/>
  <c r="L975" i="1" s="1"/>
  <c r="K928" i="1" a="1"/>
  <c r="K928" i="1" s="1"/>
  <c r="J928" i="1" a="1"/>
  <c r="J928" i="1" s="1"/>
  <c r="L914" i="1" a="1"/>
  <c r="L914" i="1" s="1"/>
  <c r="K914" i="1" a="1"/>
  <c r="K914" i="1" s="1"/>
  <c r="L916" i="1" a="1"/>
  <c r="L916" i="1" s="1"/>
  <c r="L928" i="1" a="1"/>
  <c r="L928" i="1" s="1"/>
  <c r="J914" i="1" a="1"/>
  <c r="J914" i="1" s="1"/>
  <c r="K916" i="1" a="1"/>
  <c r="K916" i="1" s="1"/>
  <c r="J916" i="1" a="1"/>
  <c r="J916" i="1" s="1"/>
  <c r="L885" i="1" a="1"/>
  <c r="L885" i="1" s="1"/>
  <c r="J885" i="1" a="1"/>
  <c r="J885" i="1" s="1"/>
  <c r="L884" i="1" a="1"/>
  <c r="L884" i="1" s="1"/>
  <c r="K896" i="1" a="1"/>
  <c r="K896" i="1" s="1"/>
  <c r="J884" i="1" a="1"/>
  <c r="J884" i="1" s="1"/>
  <c r="L896" i="1" a="1"/>
  <c r="L896" i="1" s="1"/>
  <c r="L925" i="1" s="1"/>
  <c r="L924" i="1" s="1"/>
  <c r="K885" i="1" a="1"/>
  <c r="K885" i="1" s="1"/>
  <c r="J896" i="1" a="1"/>
  <c r="J896" i="1" s="1"/>
  <c r="J925" i="1" s="1"/>
  <c r="J924" i="1" s="1"/>
  <c r="K884" i="1" a="1"/>
  <c r="K884" i="1" s="1"/>
  <c r="K806" i="1" a="1"/>
  <c r="K806" i="1" s="1"/>
  <c r="J802" i="1" a="1"/>
  <c r="J802" i="1" s="1"/>
  <c r="L802" i="1" a="1"/>
  <c r="L802" i="1" s="1"/>
  <c r="L804" i="1" a="1"/>
  <c r="L804" i="1" s="1"/>
  <c r="J804" i="1" a="1"/>
  <c r="J804" i="1" s="1"/>
  <c r="J806" i="1" a="1"/>
  <c r="J806" i="1" s="1"/>
  <c r="K802" i="1" a="1"/>
  <c r="K802" i="1" s="1"/>
  <c r="L806" i="1" a="1"/>
  <c r="L806" i="1" s="1"/>
  <c r="K804" i="1" a="1"/>
  <c r="K804" i="1" s="1"/>
  <c r="K780" i="1" a="1"/>
  <c r="K780" i="1" s="1"/>
  <c r="L766" i="1" a="1"/>
  <c r="L766" i="1" s="1"/>
  <c r="L816" i="1" s="1" a="1"/>
  <c r="L816" i="1" s="1"/>
  <c r="K766" i="1" a="1"/>
  <c r="K766" i="1" s="1"/>
  <c r="K816" i="1" s="1" a="1"/>
  <c r="K816" i="1" s="1"/>
  <c r="J766" i="1" a="1"/>
  <c r="J766" i="1" s="1"/>
  <c r="J816" i="1" s="1" a="1"/>
  <c r="J816" i="1" s="1"/>
  <c r="J780" i="1" a="1"/>
  <c r="J780" i="1" s="1"/>
  <c r="J779" i="1" s="1"/>
  <c r="J786" i="1" s="1"/>
  <c r="J787" i="1" s="1"/>
  <c r="L780" i="1" a="1"/>
  <c r="L780" i="1" s="1"/>
  <c r="L779" i="1" s="1"/>
  <c r="L786" i="1" s="1"/>
  <c r="L787" i="1" s="1"/>
  <c r="K1874" i="1" a="1"/>
  <c r="K1874" i="1" s="1"/>
  <c r="L1878" i="1" a="1"/>
  <c r="L1878" i="1" s="1"/>
  <c r="K1878" i="1" a="1"/>
  <c r="K1878" i="1" s="1"/>
  <c r="J1878" i="1" a="1"/>
  <c r="J1878" i="1" s="1"/>
  <c r="J1874" i="1" a="1"/>
  <c r="J1874" i="1" s="1"/>
  <c r="J1876" i="1" a="1"/>
  <c r="J1876" i="1" s="1"/>
  <c r="L1874" i="1" a="1"/>
  <c r="L1874" i="1" s="1"/>
  <c r="K1876" i="1" a="1"/>
  <c r="K1876" i="1" s="1"/>
  <c r="L1876" i="1" a="1"/>
  <c r="L1876" i="1" s="1"/>
  <c r="J1871" i="1" a="1"/>
  <c r="J1871" i="1" s="1"/>
  <c r="L1872" i="1" a="1"/>
  <c r="L1872" i="1" s="1"/>
  <c r="K1870" i="1" a="1"/>
  <c r="K1870" i="1" s="1"/>
  <c r="J1870" i="1" a="1"/>
  <c r="J1870" i="1" s="1"/>
  <c r="L1867" i="1" a="1"/>
  <c r="L1867" i="1" s="1"/>
  <c r="J1867" i="1" a="1"/>
  <c r="J1867" i="1" s="1"/>
  <c r="K1872" i="1" a="1"/>
  <c r="K1872" i="1" s="1"/>
  <c r="J1872" i="1" a="1"/>
  <c r="J1872" i="1" s="1"/>
  <c r="K1867" i="1" a="1"/>
  <c r="K1867" i="1" s="1"/>
  <c r="J1868" i="1" a="1"/>
  <c r="J1868" i="1" s="1"/>
  <c r="L1871" i="1" a="1"/>
  <c r="L1871" i="1" s="1"/>
  <c r="K1871" i="1" a="1"/>
  <c r="K1871" i="1" s="1"/>
  <c r="L1870" i="1" a="1"/>
  <c r="L1870" i="1" s="1"/>
  <c r="L1868" i="1" a="1"/>
  <c r="L1868" i="1" s="1"/>
  <c r="K1868" i="1" a="1"/>
  <c r="K1868" i="1" s="1"/>
  <c r="K1861" i="1" a="1"/>
  <c r="K1861" i="1" s="1"/>
  <c r="J1859" i="1" a="1"/>
  <c r="J1859" i="1" s="1"/>
  <c r="J1864" i="1" a="1"/>
  <c r="J1864" i="1" s="1"/>
  <c r="L1859" i="1" a="1"/>
  <c r="L1859" i="1" s="1"/>
  <c r="J1857" i="1" a="1"/>
  <c r="J1857" i="1" s="1"/>
  <c r="L1857" i="1" a="1"/>
  <c r="L1857" i="1" s="1"/>
  <c r="L1864" i="1" a="1"/>
  <c r="L1864" i="1" s="1"/>
  <c r="J1861" i="1" a="1"/>
  <c r="J1861" i="1" s="1"/>
  <c r="L1865" i="1" a="1"/>
  <c r="L1865" i="1" s="1"/>
  <c r="L1861" i="1" a="1"/>
  <c r="L1861" i="1" s="1"/>
  <c r="K1857" i="1" a="1"/>
  <c r="K1857" i="1" s="1"/>
  <c r="K1865" i="1" a="1"/>
  <c r="K1865" i="1" s="1"/>
  <c r="J1865" i="1" a="1"/>
  <c r="J1865" i="1" s="1"/>
  <c r="K1859" i="1" a="1"/>
  <c r="K1859" i="1" s="1"/>
  <c r="K1864" i="1" a="1"/>
  <c r="K1864" i="1" s="1"/>
  <c r="K1851" i="1" a="1"/>
  <c r="K1851" i="1" s="1"/>
  <c r="K1850" i="1" a="1"/>
  <c r="K1850" i="1" s="1"/>
  <c r="K1855" i="1" a="1"/>
  <c r="K1855" i="1" s="1"/>
  <c r="K1848" i="1" a="1"/>
  <c r="K1848" i="1" s="1"/>
  <c r="K1853" i="1" a="1"/>
  <c r="K1853" i="1" s="1"/>
  <c r="L1851" i="1" a="1"/>
  <c r="L1851" i="1" s="1"/>
  <c r="J1850" i="1" a="1"/>
  <c r="J1850" i="1" s="1"/>
  <c r="L1855" i="1" a="1"/>
  <c r="L1855" i="1" s="1"/>
  <c r="L1850" i="1" a="1"/>
  <c r="L1850" i="1" s="1"/>
  <c r="L1853" i="1" a="1"/>
  <c r="L1853" i="1" s="1"/>
  <c r="L1848" i="1" a="1"/>
  <c r="L1848" i="1" s="1"/>
  <c r="J1853" i="1" a="1"/>
  <c r="J1853" i="1" s="1"/>
  <c r="J1848" i="1" a="1"/>
  <c r="J1848" i="1" s="1"/>
  <c r="J1851" i="1" a="1"/>
  <c r="J1851" i="1" s="1"/>
  <c r="J1855" i="1" a="1"/>
  <c r="J1855" i="1" s="1"/>
  <c r="L1840" i="1" a="1"/>
  <c r="L1840" i="1" s="1"/>
  <c r="K1845" i="1" a="1"/>
  <c r="K1845" i="1" s="1"/>
  <c r="J1845" i="1" a="1"/>
  <c r="J1845" i="1" s="1"/>
  <c r="K1842" i="1" a="1"/>
  <c r="K1842" i="1" s="1"/>
  <c r="K1846" i="1" a="1"/>
  <c r="K1846" i="1" s="1"/>
  <c r="J1842" i="1" a="1"/>
  <c r="J1842" i="1" s="1"/>
  <c r="L1842" i="1" a="1"/>
  <c r="L1842" i="1" s="1"/>
  <c r="J1840" i="1" a="1"/>
  <c r="J1840" i="1" s="1"/>
  <c r="L1845" i="1" a="1"/>
  <c r="L1845" i="1" s="1"/>
  <c r="L1846" i="1" a="1"/>
  <c r="L1846" i="1" s="1"/>
  <c r="K1840" i="1" a="1"/>
  <c r="K1840" i="1" s="1"/>
  <c r="J1846" i="1" a="1"/>
  <c r="J1846" i="1" s="1"/>
  <c r="K1838" i="1" a="1"/>
  <c r="K1838" i="1" s="1"/>
  <c r="J1838" i="1" a="1"/>
  <c r="J1838" i="1" s="1"/>
  <c r="L1838" i="1" a="1"/>
  <c r="L1838" i="1" s="1"/>
  <c r="L1826" i="1" a="1"/>
  <c r="L1826" i="1" s="1"/>
  <c r="L1831" i="1" a="1"/>
  <c r="L1831" i="1" s="1"/>
  <c r="J1826" i="1" a="1"/>
  <c r="J1826" i="1" s="1"/>
  <c r="L1829" i="1" a="1"/>
  <c r="L1829" i="1" s="1"/>
  <c r="L1832" i="1" a="1"/>
  <c r="L1832" i="1" s="1"/>
  <c r="K1832" i="1" a="1"/>
  <c r="K1832" i="1" s="1"/>
  <c r="K1829" i="1" a="1"/>
  <c r="K1829" i="1" s="1"/>
  <c r="J1831" i="1" a="1"/>
  <c r="J1831" i="1" s="1"/>
  <c r="J1827" i="1" a="1"/>
  <c r="J1827" i="1" s="1"/>
  <c r="J1829" i="1" a="1"/>
  <c r="J1829" i="1" s="1"/>
  <c r="L1836" i="1" a="1"/>
  <c r="L1836" i="1" s="1"/>
  <c r="K1836" i="1" a="1"/>
  <c r="K1836" i="1" s="1"/>
  <c r="J1834" i="1" a="1"/>
  <c r="J1834" i="1" s="1"/>
  <c r="L1827" i="1" a="1"/>
  <c r="L1827" i="1" s="1"/>
  <c r="J1836" i="1" a="1"/>
  <c r="J1836" i="1" s="1"/>
  <c r="L1834" i="1" a="1"/>
  <c r="L1834" i="1" s="1"/>
  <c r="K1826" i="1" a="1"/>
  <c r="K1826" i="1" s="1"/>
  <c r="K1834" i="1" a="1"/>
  <c r="K1834" i="1" s="1"/>
  <c r="K1827" i="1" a="1"/>
  <c r="K1827" i="1" s="1"/>
  <c r="J1832" i="1" a="1"/>
  <c r="J1832" i="1" s="1"/>
  <c r="K1831" i="1" a="1"/>
  <c r="K1831" i="1" s="1"/>
  <c r="K1902" i="1" a="1"/>
  <c r="K1902" i="1" s="1"/>
  <c r="J1902" i="1" a="1"/>
  <c r="J1902" i="1" s="1"/>
  <c r="L1902" i="1" a="1"/>
  <c r="L1902" i="1" s="1"/>
  <c r="J1896" i="1" a="1"/>
  <c r="J1896" i="1" s="1"/>
  <c r="L1894" i="1" a="1"/>
  <c r="L1894" i="1" s="1"/>
  <c r="J1898" i="1" a="1"/>
  <c r="J1898" i="1" s="1"/>
  <c r="K1894" i="1" a="1"/>
  <c r="K1894" i="1" s="1"/>
  <c r="J1892" i="1" a="1"/>
  <c r="J1892" i="1" s="1"/>
  <c r="K1896" i="1" a="1"/>
  <c r="K1896" i="1" s="1"/>
  <c r="L1893" i="1" a="1"/>
  <c r="L1893" i="1" s="1"/>
  <c r="L1896" i="1" a="1"/>
  <c r="L1896" i="1" s="1"/>
  <c r="L1898" i="1" a="1"/>
  <c r="L1898" i="1" s="1"/>
  <c r="K1900" i="1" a="1"/>
  <c r="K1900" i="1" s="1"/>
  <c r="J1900" i="1" a="1"/>
  <c r="J1900" i="1" s="1"/>
  <c r="J1893" i="1" a="1"/>
  <c r="J1893" i="1" s="1"/>
  <c r="K1892" i="1" a="1"/>
  <c r="K1892" i="1" s="1"/>
  <c r="J1894" i="1" a="1"/>
  <c r="J1894" i="1" s="1"/>
  <c r="K1893" i="1" a="1"/>
  <c r="K1893" i="1" s="1"/>
  <c r="L1900" i="1" a="1"/>
  <c r="L1900" i="1" s="1"/>
  <c r="K1898" i="1" a="1"/>
  <c r="K1898" i="1" s="1"/>
  <c r="L1890" i="1" a="1"/>
  <c r="L1890" i="1" s="1"/>
  <c r="L1892" i="1" a="1"/>
  <c r="L1892" i="1" s="1"/>
  <c r="L1884" i="1" a="1"/>
  <c r="L1884" i="1" s="1"/>
  <c r="J1880" i="1" a="1"/>
  <c r="J1880" i="1" s="1"/>
  <c r="L1880" i="1" a="1"/>
  <c r="L1880" i="1" s="1"/>
  <c r="K1884" i="1" a="1"/>
  <c r="K1884" i="1" s="1"/>
  <c r="J1884" i="1" a="1"/>
  <c r="J1884" i="1" s="1"/>
  <c r="J1882" i="1" a="1"/>
  <c r="J1882" i="1" s="1"/>
  <c r="L1888" i="1" a="1"/>
  <c r="L1888" i="1" s="1"/>
  <c r="K1890" i="1" a="1"/>
  <c r="K1890" i="1" s="1"/>
  <c r="J1890" i="1" a="1"/>
  <c r="J1890" i="1" s="1"/>
  <c r="K1880" i="1" a="1"/>
  <c r="K1880" i="1" s="1"/>
  <c r="K1888" i="1" a="1"/>
  <c r="K1888" i="1" s="1"/>
  <c r="J1888" i="1" a="1"/>
  <c r="J1888" i="1" s="1"/>
  <c r="K1882" i="1" a="1"/>
  <c r="K1882" i="1" s="1"/>
  <c r="L1887" i="1" a="1"/>
  <c r="L1887" i="1" s="1"/>
  <c r="K1887" i="1" a="1"/>
  <c r="K1887" i="1" s="1"/>
  <c r="L1882" i="1" a="1"/>
  <c r="L1882" i="1" s="1"/>
  <c r="J1887" i="1" a="1"/>
  <c r="J1887" i="1" s="1"/>
  <c r="J2310" i="1" a="1"/>
  <c r="J2310" i="1" s="1"/>
  <c r="K2308" i="1" a="1"/>
  <c r="K2308" i="1" s="1"/>
  <c r="J2312" i="1" a="1"/>
  <c r="J2312" i="1" s="1"/>
  <c r="L2306" i="1" a="1"/>
  <c r="L2306" i="1" s="1"/>
  <c r="J2308" i="1" a="1"/>
  <c r="J2308" i="1" s="1"/>
  <c r="L2310" i="1" a="1"/>
  <c r="L2310" i="1" s="1"/>
  <c r="K2306" i="1" a="1"/>
  <c r="K2306" i="1" s="1"/>
  <c r="L2312" i="1" a="1"/>
  <c r="L2312" i="1" s="1"/>
  <c r="K2312" i="1" a="1"/>
  <c r="K2312" i="1" s="1"/>
  <c r="K2310" i="1" a="1"/>
  <c r="K2310" i="1" s="1"/>
  <c r="L2308" i="1" a="1"/>
  <c r="L2308" i="1" s="1"/>
  <c r="J2306" i="1" a="1"/>
  <c r="J2306" i="1" s="1"/>
  <c r="J2304" i="1" a="1"/>
  <c r="J2304" i="1" s="1"/>
  <c r="L2292" i="1" a="1"/>
  <c r="L2292" i="1" s="1"/>
  <c r="L2303" i="1" a="1"/>
  <c r="L2303" i="1" s="1"/>
  <c r="L2302" i="1" a="1"/>
  <c r="L2302" i="1" s="1"/>
  <c r="K2304" i="1" a="1"/>
  <c r="K2304" i="1" s="1"/>
  <c r="L2300" i="1" a="1"/>
  <c r="L2300" i="1" s="1"/>
  <c r="K2292" i="1" a="1"/>
  <c r="K2292" i="1" s="1"/>
  <c r="K2302" i="1" a="1"/>
  <c r="K2302" i="1" s="1"/>
  <c r="J2298" i="1" a="1"/>
  <c r="J2298" i="1" s="1"/>
  <c r="L2297" i="1" a="1"/>
  <c r="L2297" i="1" s="1"/>
  <c r="K2298" i="1" a="1"/>
  <c r="K2298" i="1" s="1"/>
  <c r="J2303" i="1" a="1"/>
  <c r="J2303" i="1" s="1"/>
  <c r="K2297" i="1" a="1"/>
  <c r="K2297" i="1" s="1"/>
  <c r="J2297" i="1" a="1"/>
  <c r="J2297" i="1" s="1"/>
  <c r="J2294" i="1" a="1"/>
  <c r="J2294" i="1" s="1"/>
  <c r="J2300" i="1" a="1"/>
  <c r="J2300" i="1" s="1"/>
  <c r="L2298" i="1" a="1"/>
  <c r="L2298" i="1" s="1"/>
  <c r="K2294" i="1" a="1"/>
  <c r="K2294" i="1" s="1"/>
  <c r="L2294" i="1" a="1"/>
  <c r="L2294" i="1"/>
  <c r="K2303" i="1" a="1"/>
  <c r="K2303" i="1" s="1"/>
  <c r="L2304" i="1" a="1"/>
  <c r="L2304" i="1" s="1"/>
  <c r="J2302" i="1" a="1"/>
  <c r="J2302" i="1" s="1"/>
  <c r="K2300" i="1" a="1"/>
  <c r="K2300" i="1" s="1"/>
  <c r="K2280" i="1" a="1"/>
  <c r="K2280" i="1" s="1"/>
  <c r="K2284" i="1" a="1"/>
  <c r="K2284" i="1" s="1"/>
  <c r="K2290" i="1" a="1"/>
  <c r="K2290" i="1" s="1"/>
  <c r="J2284" i="1" a="1"/>
  <c r="J2284" i="1" s="1"/>
  <c r="J2281" i="1" a="1"/>
  <c r="J2281" i="1" s="1"/>
  <c r="L2282" i="1" a="1"/>
  <c r="L2282" i="1" s="1"/>
  <c r="K2286" i="1" a="1"/>
  <c r="K2286" i="1" s="1"/>
  <c r="L2284" i="1" a="1"/>
  <c r="L2284" i="1" s="1"/>
  <c r="J2290" i="1" a="1"/>
  <c r="J2290" i="1" s="1"/>
  <c r="K2278" i="1" a="1"/>
  <c r="K2278" i="1" s="1"/>
  <c r="L2288" i="1" a="1"/>
  <c r="L2288" i="1" s="1"/>
  <c r="L2286" i="1" a="1"/>
  <c r="L2286" i="1" s="1"/>
  <c r="K2281" i="1" a="1"/>
  <c r="K2281" i="1" s="1"/>
  <c r="J2280" i="1" a="1"/>
  <c r="J2280" i="1" s="1"/>
  <c r="K2282" i="1" a="1"/>
  <c r="K2282" i="1" s="1"/>
  <c r="L2281" i="1" a="1"/>
  <c r="L2281" i="1" s="1"/>
  <c r="L2280" i="1" a="1"/>
  <c r="L2280" i="1" s="1"/>
  <c r="J2278" i="1" a="1"/>
  <c r="J2278" i="1" s="1"/>
  <c r="J2288" i="1" a="1"/>
  <c r="J2288" i="1" s="1"/>
  <c r="K2288" i="1" a="1"/>
  <c r="K2288" i="1" s="1"/>
  <c r="L2290" i="1" a="1"/>
  <c r="L2290" i="1" s="1"/>
  <c r="J2292" i="1" a="1"/>
  <c r="J2292" i="1" s="1"/>
  <c r="L2278" i="1" a="1"/>
  <c r="L2278" i="1" s="1"/>
  <c r="J2286" i="1" a="1"/>
  <c r="J2286" i="1" s="1"/>
  <c r="J2282" i="1" a="1"/>
  <c r="J2282" i="1" s="1"/>
  <c r="J2269" i="1" a="1"/>
  <c r="J2269" i="1" s="1"/>
  <c r="L2277" i="1" a="1"/>
  <c r="L2277" i="1" s="1"/>
  <c r="K2275" i="1" a="1"/>
  <c r="K2275" i="1" s="1"/>
  <c r="K2277" i="1" a="1"/>
  <c r="K2277" i="1" s="1"/>
  <c r="J2277" i="1" a="1"/>
  <c r="J2277" i="1" s="1"/>
  <c r="L2274" i="1" a="1"/>
  <c r="L2274" i="1" s="1"/>
  <c r="K2269" i="1" a="1"/>
  <c r="K2269" i="1" s="1"/>
  <c r="L2271" i="1" a="1"/>
  <c r="L2271" i="1" s="1"/>
  <c r="J2275" i="1" a="1"/>
  <c r="J2275" i="1" s="1"/>
  <c r="L2267" i="1" a="1"/>
  <c r="L2267" i="1" s="1"/>
  <c r="L2265" i="1" a="1"/>
  <c r="L2265" i="1" s="1"/>
  <c r="L2269" i="1" a="1"/>
  <c r="L2269" i="1" s="1"/>
  <c r="L2275" i="1" a="1"/>
  <c r="L2275" i="1" s="1"/>
  <c r="J2267" i="1" a="1"/>
  <c r="J2267" i="1" s="1"/>
  <c r="K2271" i="1" a="1"/>
  <c r="K2271" i="1" s="1"/>
  <c r="J2274" i="1" a="1"/>
  <c r="J2274" i="1" s="1"/>
  <c r="K2265" i="1" a="1"/>
  <c r="K2265" i="1" s="1"/>
  <c r="K2267" i="1" a="1"/>
  <c r="K2267" i="1" s="1"/>
  <c r="K2274" i="1" a="1"/>
  <c r="K2274" i="1" s="1"/>
  <c r="J2271" i="1" a="1"/>
  <c r="J2271" i="1" s="1"/>
  <c r="J2265" i="1" a="1"/>
  <c r="J2265" i="1" s="1"/>
  <c r="K2261" i="1" a="1"/>
  <c r="K2261" i="1" s="1"/>
  <c r="J2255" i="1" a="1"/>
  <c r="J2255" i="1" s="1"/>
  <c r="L2261" i="1" a="1"/>
  <c r="L2261" i="1" s="1"/>
  <c r="J2261" i="1" a="1"/>
  <c r="J2261" i="1" s="1"/>
  <c r="J2260" i="1" a="1"/>
  <c r="J2260" i="1" s="1"/>
  <c r="K2258" i="1" a="1"/>
  <c r="K2258" i="1" s="1"/>
  <c r="K2255" i="1" a="1"/>
  <c r="K2255" i="1" s="1"/>
  <c r="K2256" i="1" a="1"/>
  <c r="K2256" i="1" s="1"/>
  <c r="J2258" i="1" a="1"/>
  <c r="J2258" i="1" s="1"/>
  <c r="L2263" i="1" a="1"/>
  <c r="L2263" i="1" s="1"/>
  <c r="J2256" i="1" a="1"/>
  <c r="J2256" i="1" s="1"/>
  <c r="K2260" i="1" a="1"/>
  <c r="K2260" i="1" s="1"/>
  <c r="K2250" i="1" a="1"/>
  <c r="K2250" i="1" s="1"/>
  <c r="L2258" i="1" a="1"/>
  <c r="L2258" i="1" s="1"/>
  <c r="J2263" i="1" a="1"/>
  <c r="J2263" i="1" s="1"/>
  <c r="L2255" i="1" a="1"/>
  <c r="L2255" i="1" s="1"/>
  <c r="J2250" i="1" a="1"/>
  <c r="J2250" i="1" s="1"/>
  <c r="L2250" i="1" a="1"/>
  <c r="L2250" i="1" s="1"/>
  <c r="K2252" i="1" a="1"/>
  <c r="K2252" i="1" s="1"/>
  <c r="L2252" i="1" a="1"/>
  <c r="L2252" i="1" s="1"/>
  <c r="J2252" i="1" a="1"/>
  <c r="J2252" i="1" s="1"/>
  <c r="K2263" i="1" a="1"/>
  <c r="K2263" i="1" s="1"/>
  <c r="L2260" i="1" a="1"/>
  <c r="L2260" i="1" s="1"/>
  <c r="L2256" i="1" a="1"/>
  <c r="L2256" i="1" s="1"/>
  <c r="K2244" i="1" a="1"/>
  <c r="K2244" i="1" s="1"/>
  <c r="K2239" i="1" a="1"/>
  <c r="K2239" i="1" s="1"/>
  <c r="J2239" i="1" a="1"/>
  <c r="J2239" i="1" s="1"/>
  <c r="L2246" i="1" a="1"/>
  <c r="L2246" i="1" s="1"/>
  <c r="L2244" i="1" a="1"/>
  <c r="L2244" i="1" s="1"/>
  <c r="L2242" i="1" a="1"/>
  <c r="L2242" i="1" s="1"/>
  <c r="K2241" i="1" a="1"/>
  <c r="K2241" i="1" s="1"/>
  <c r="J2237" i="1" a="1"/>
  <c r="J2237" i="1" s="1"/>
  <c r="J2244" i="1" a="1"/>
  <c r="J2244" i="1" s="1"/>
  <c r="K2248" i="1" a="1"/>
  <c r="K2248" i="1" s="1"/>
  <c r="L2239" i="1" a="1"/>
  <c r="L2239" i="1" s="1"/>
  <c r="K2246" i="1" a="1"/>
  <c r="K2246" i="1" s="1"/>
  <c r="J2246" i="1" a="1"/>
  <c r="J2246" i="1" s="1"/>
  <c r="L2237" i="1" a="1"/>
  <c r="L2237" i="1" s="1"/>
  <c r="J2242" i="1" a="1"/>
  <c r="J2242" i="1" s="1"/>
  <c r="J2241" i="1" a="1"/>
  <c r="J2241" i="1" s="1"/>
  <c r="L2241" i="1" a="1"/>
  <c r="L2241" i="1" s="1"/>
  <c r="K2242" i="1" a="1"/>
  <c r="K2242" i="1" s="1"/>
  <c r="L2248" i="1" a="1"/>
  <c r="L2248" i="1" s="1"/>
  <c r="J2248" i="1" a="1"/>
  <c r="J2248" i="1" s="1"/>
  <c r="K2237" i="1" a="1"/>
  <c r="K2237" i="1" s="1"/>
  <c r="L2236" i="1" a="1"/>
  <c r="L2236" i="1" s="1"/>
  <c r="J2236" i="1" a="1"/>
  <c r="J2236" i="1" s="1"/>
  <c r="K2236" i="1" a="1"/>
  <c r="K223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3" i="1"/>
  <c r="L782" i="1"/>
  <c r="K782" i="1"/>
  <c r="J782" i="1"/>
  <c r="K779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J97" i="1"/>
  <c r="J129" i="1" s="1"/>
  <c r="L96" i="1"/>
  <c r="L128" i="1" s="1"/>
  <c r="K96" i="1"/>
  <c r="K128" i="1" s="1"/>
  <c r="J96" i="1"/>
  <c r="J128" i="1" s="1"/>
  <c r="L95" i="1"/>
  <c r="K95" i="1"/>
  <c r="J95" i="1"/>
  <c r="L94" i="1"/>
  <c r="K94" i="1"/>
  <c r="K126" i="1" s="1"/>
  <c r="J94" i="1"/>
  <c r="J126" i="1" s="1"/>
  <c r="L93" i="1"/>
  <c r="L125" i="1" s="1"/>
  <c r="K93" i="1"/>
  <c r="J93" i="1"/>
  <c r="J125" i="1" s="1"/>
  <c r="L92" i="1"/>
  <c r="K92" i="1"/>
  <c r="J92" i="1"/>
  <c r="L91" i="1"/>
  <c r="K91" i="1"/>
  <c r="J91" i="1"/>
  <c r="J123" i="1" s="1"/>
  <c r="L90" i="1"/>
  <c r="L122" i="1" s="1"/>
  <c r="K90" i="1"/>
  <c r="K122" i="1" s="1"/>
  <c r="J90" i="1"/>
  <c r="J122" i="1" s="1"/>
  <c r="L89" i="1"/>
  <c r="L121" i="1" s="1"/>
  <c r="K89" i="1"/>
  <c r="J89" i="1"/>
  <c r="J121" i="1" s="1"/>
  <c r="L88" i="1"/>
  <c r="K88" i="1"/>
  <c r="K120" i="1" s="1"/>
  <c r="J88" i="1"/>
  <c r="J120" i="1" s="1"/>
  <c r="L87" i="1"/>
  <c r="L119" i="1" s="1"/>
  <c r="K87" i="1"/>
  <c r="J87" i="1"/>
  <c r="J119" i="1" s="1"/>
  <c r="L86" i="1"/>
  <c r="K86" i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4" i="1" a="1"/>
  <c r="K1644" i="1" s="1"/>
  <c r="L1648" i="1" a="1"/>
  <c r="L1648" i="1" s="1"/>
  <c r="L1644" i="1" a="1"/>
  <c r="L1644" i="1" s="1"/>
  <c r="J1648" i="1" a="1"/>
  <c r="J1648" i="1" s="1"/>
  <c r="J1644" i="1" a="1"/>
  <c r="J1644" i="1" s="1"/>
  <c r="K1648" i="1" a="1"/>
  <c r="K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31" i="1" a="1"/>
  <c r="L31" i="1" s="1"/>
  <c r="J31" i="1" a="1"/>
  <c r="J31" i="1" s="1"/>
  <c r="K31" i="1" a="1"/>
  <c r="K31" i="1" s="1"/>
  <c r="J688" i="1" a="1"/>
  <c r="J688" i="1" s="1"/>
  <c r="K687" i="1" a="1"/>
  <c r="K687" i="1" s="1"/>
  <c r="K697" i="1" a="1"/>
  <c r="K697" i="1" s="1"/>
  <c r="J696" i="1" a="1"/>
  <c r="J696" i="1" s="1"/>
  <c r="L697" i="1" a="1"/>
  <c r="L697" i="1" s="1"/>
  <c r="K696" i="1" a="1"/>
  <c r="K696" i="1" s="1"/>
  <c r="J697" i="1" a="1"/>
  <c r="J697" i="1" s="1"/>
  <c r="L687" i="1" a="1"/>
  <c r="L687" i="1" s="1"/>
  <c r="L696" i="1" a="1"/>
  <c r="L696" i="1" s="1"/>
  <c r="L688" i="1" a="1"/>
  <c r="L688" i="1" s="1"/>
  <c r="K688" i="1" a="1"/>
  <c r="K688" i="1" s="1"/>
  <c r="J687" i="1" a="1"/>
  <c r="J687" i="1" s="1"/>
  <c r="L682" i="1" a="1"/>
  <c r="L682" i="1" s="1"/>
  <c r="K683" i="1" a="1"/>
  <c r="K683" i="1" s="1"/>
  <c r="L681" i="1" a="1"/>
  <c r="L681" i="1" s="1"/>
  <c r="K681" i="1" a="1"/>
  <c r="K681" i="1" s="1"/>
  <c r="L683" i="1" a="1"/>
  <c r="L683" i="1" s="1"/>
  <c r="J683" i="1" a="1"/>
  <c r="J683" i="1" s="1"/>
  <c r="J681" i="1" a="1"/>
  <c r="J681" i="1" s="1"/>
  <c r="L685" i="1" a="1"/>
  <c r="L685" i="1" s="1"/>
  <c r="K685" i="1" a="1"/>
  <c r="K685" i="1" s="1"/>
  <c r="J685" i="1" a="1"/>
  <c r="J685" i="1" s="1"/>
  <c r="K682" i="1" a="1"/>
  <c r="K682" i="1" s="1"/>
  <c r="J682" i="1" a="1"/>
  <c r="J682" i="1" s="1"/>
  <c r="K666" i="1" a="1"/>
  <c r="K666" i="1" s="1"/>
  <c r="K652" i="1" a="1"/>
  <c r="K652" i="1" s="1"/>
  <c r="L665" i="1" a="1"/>
  <c r="L665" i="1" s="1"/>
  <c r="K653" i="1" a="1"/>
  <c r="K653" i="1" s="1"/>
  <c r="J665" i="1" a="1"/>
  <c r="J665" i="1" s="1"/>
  <c r="L653" i="1" a="1"/>
  <c r="L653" i="1" s="1"/>
  <c r="L666" i="1" a="1"/>
  <c r="L666" i="1" s="1"/>
  <c r="J666" i="1" a="1"/>
  <c r="J666" i="1" s="1"/>
  <c r="J664" i="1" a="1"/>
  <c r="J664" i="1" s="1"/>
  <c r="L664" i="1" a="1"/>
  <c r="L664" i="1" s="1"/>
  <c r="J653" i="1" a="1"/>
  <c r="J653" i="1" s="1"/>
  <c r="J652" i="1" a="1"/>
  <c r="J652" i="1" s="1"/>
  <c r="L652" i="1" a="1"/>
  <c r="L652" i="1" s="1"/>
  <c r="K665" i="1" a="1"/>
  <c r="K665" i="1" s="1"/>
  <c r="K664" i="1" a="1"/>
  <c r="K664" i="1" s="1"/>
  <c r="L645" i="1" a="1"/>
  <c r="L645" i="1" s="1"/>
  <c r="K645" i="1" a="1"/>
  <c r="K645" i="1" s="1"/>
  <c r="J645" i="1" a="1"/>
  <c r="J645" i="1" s="1"/>
  <c r="J648" i="1" a="1"/>
  <c r="J648" i="1" s="1"/>
  <c r="L648" i="1" a="1"/>
  <c r="L648" i="1" s="1"/>
  <c r="L650" i="1" a="1"/>
  <c r="L650" i="1" s="1"/>
  <c r="K643" i="1" a="1"/>
  <c r="K643" i="1" s="1"/>
  <c r="K650" i="1" a="1"/>
  <c r="K650" i="1" s="1"/>
  <c r="K648" i="1" a="1"/>
  <c r="K648" i="1" s="1"/>
  <c r="L647" i="1" a="1"/>
  <c r="L647" i="1" s="1"/>
  <c r="J650" i="1" a="1"/>
  <c r="J650" i="1" s="1"/>
  <c r="L643" i="1" a="1"/>
  <c r="L643" i="1" s="1"/>
  <c r="K642" i="1" a="1"/>
  <c r="K642" i="1" s="1"/>
  <c r="K649" i="1" a="1"/>
  <c r="K649" i="1" s="1"/>
  <c r="K647" i="1" a="1"/>
  <c r="K647" i="1" s="1"/>
  <c r="J647" i="1" a="1"/>
  <c r="J647" i="1" s="1"/>
  <c r="L649" i="1" a="1"/>
  <c r="L649" i="1" s="1"/>
  <c r="J642" i="1" a="1"/>
  <c r="J642" i="1" s="1"/>
  <c r="J643" i="1" a="1"/>
  <c r="J643" i="1" s="1"/>
  <c r="J649" i="1" a="1"/>
  <c r="J649" i="1" s="1"/>
  <c r="L642" i="1" a="1"/>
  <c r="L642" i="1" s="1"/>
  <c r="K640" i="1" a="1"/>
  <c r="K640" i="1" s="1"/>
  <c r="J640" i="1" a="1"/>
  <c r="J640" i="1" s="1"/>
  <c r="J638" i="1" a="1"/>
  <c r="J638" i="1" s="1"/>
  <c r="L639" i="1" a="1"/>
  <c r="L639" i="1" s="1"/>
  <c r="L637" i="1" a="1"/>
  <c r="L637" i="1" s="1"/>
  <c r="K637" i="1" a="1"/>
  <c r="K637" i="1" s="1"/>
  <c r="J632" i="1" a="1"/>
  <c r="J632" i="1" s="1"/>
  <c r="K635" i="1" a="1"/>
  <c r="K635" i="1" s="1"/>
  <c r="L633" i="1" a="1"/>
  <c r="L633" i="1" s="1"/>
  <c r="K632" i="1" a="1"/>
  <c r="K632" i="1" s="1"/>
  <c r="K639" i="1" a="1"/>
  <c r="K639" i="1" s="1"/>
  <c r="K633" i="1" a="1"/>
  <c r="K633" i="1" s="1"/>
  <c r="L635" i="1" a="1"/>
  <c r="L635" i="1" s="1"/>
  <c r="J637" i="1" a="1"/>
  <c r="J637" i="1" s="1"/>
  <c r="L632" i="1" a="1"/>
  <c r="L632" i="1" s="1"/>
  <c r="K638" i="1" a="1"/>
  <c r="K638" i="1" s="1"/>
  <c r="J633" i="1" a="1"/>
  <c r="J633" i="1" s="1"/>
  <c r="J635" i="1" a="1"/>
  <c r="J635" i="1" s="1"/>
  <c r="L638" i="1" a="1"/>
  <c r="L638" i="1" s="1"/>
  <c r="J639" i="1" a="1"/>
  <c r="J639" i="1" s="1"/>
  <c r="L640" i="1" a="1"/>
  <c r="L640" i="1" s="1"/>
  <c r="J622" i="1" a="1"/>
  <c r="J622" i="1" s="1"/>
  <c r="J625" i="1" a="1"/>
  <c r="J625" i="1" s="1"/>
  <c r="J627" i="1" a="1"/>
  <c r="J627" i="1" s="1"/>
  <c r="K625" i="1" a="1"/>
  <c r="K625" i="1" s="1"/>
  <c r="L629" i="1" a="1"/>
  <c r="L629" i="1" s="1"/>
  <c r="J629" i="1" a="1"/>
  <c r="J629" i="1" s="1"/>
  <c r="K627" i="1" a="1"/>
  <c r="K627" i="1" s="1"/>
  <c r="L623" i="1" a="1"/>
  <c r="L623" i="1" s="1"/>
  <c r="J620" i="1" a="1"/>
  <c r="J620" i="1" s="1"/>
  <c r="L630" i="1" a="1"/>
  <c r="L630" i="1" s="1"/>
  <c r="J628" i="1" a="1"/>
  <c r="J628" i="1" s="1"/>
  <c r="L622" i="1" a="1"/>
  <c r="L622" i="1" s="1"/>
  <c r="K630" i="1" a="1"/>
  <c r="K630" i="1" s="1"/>
  <c r="J630" i="1" a="1"/>
  <c r="J630" i="1" s="1"/>
  <c r="K620" i="1" a="1"/>
  <c r="K620" i="1" s="1"/>
  <c r="K629" i="1" a="1"/>
  <c r="K629" i="1" s="1"/>
  <c r="K622" i="1" a="1"/>
  <c r="K622" i="1" s="1"/>
  <c r="K628" i="1" a="1"/>
  <c r="K628" i="1" s="1"/>
  <c r="J623" i="1" a="1"/>
  <c r="J623" i="1" s="1"/>
  <c r="L620" i="1" a="1"/>
  <c r="L620" i="1" s="1"/>
  <c r="K623" i="1" a="1"/>
  <c r="K623" i="1" s="1"/>
  <c r="L627" i="1" a="1"/>
  <c r="L627" i="1" s="1"/>
  <c r="L625" i="1" a="1"/>
  <c r="L625" i="1" s="1"/>
  <c r="L628" i="1" a="1"/>
  <c r="L628" i="1" s="1"/>
  <c r="K609" i="1" a="1"/>
  <c r="K609" i="1" s="1"/>
  <c r="K607" i="1" a="1"/>
  <c r="K607" i="1" s="1"/>
  <c r="J607" i="1" a="1"/>
  <c r="J607" i="1" s="1"/>
  <c r="J617" i="1" a="1"/>
  <c r="J617" i="1" s="1"/>
  <c r="J609" i="1" a="1"/>
  <c r="J609" i="1" s="1"/>
  <c r="K618" i="1" a="1"/>
  <c r="K618" i="1" s="1"/>
  <c r="L619" i="1" a="1"/>
  <c r="L619" i="1" s="1"/>
  <c r="K619" i="1" a="1"/>
  <c r="K619" i="1" s="1"/>
  <c r="L610" i="1" a="1"/>
  <c r="L610" i="1" s="1"/>
  <c r="L606" i="1" a="1"/>
  <c r="L606" i="1" s="1"/>
  <c r="J619" i="1" a="1"/>
  <c r="J619" i="1" s="1"/>
  <c r="L618" i="1" a="1"/>
  <c r="L618" i="1" s="1"/>
  <c r="J618" i="1" a="1"/>
  <c r="J618" i="1" s="1"/>
  <c r="K610" i="1" a="1"/>
  <c r="K610" i="1" s="1"/>
  <c r="K606" i="1" a="1"/>
  <c r="K606" i="1" s="1"/>
  <c r="L609" i="1" a="1"/>
  <c r="L609" i="1" s="1"/>
  <c r="L607" i="1" a="1"/>
  <c r="L607" i="1" s="1"/>
  <c r="L617" i="1" a="1"/>
  <c r="L617" i="1" s="1"/>
  <c r="K617" i="1" a="1"/>
  <c r="K617" i="1" s="1"/>
  <c r="J610" i="1" a="1"/>
  <c r="J610" i="1" s="1"/>
  <c r="J606" i="1" a="1"/>
  <c r="J606" i="1" s="1"/>
  <c r="J602" i="1" a="1"/>
  <c r="J602" i="1" s="1"/>
  <c r="K595" i="1" a="1"/>
  <c r="K595" i="1" s="1"/>
  <c r="J595" i="1" a="1"/>
  <c r="J595" i="1" s="1"/>
  <c r="L592" i="1" a="1"/>
  <c r="L592" i="1" s="1"/>
  <c r="J596" i="1" a="1"/>
  <c r="J596" i="1" s="1"/>
  <c r="L593" i="1" a="1"/>
  <c r="L593" i="1" s="1"/>
  <c r="K593" i="1" a="1"/>
  <c r="K593" i="1" s="1"/>
  <c r="J603" i="1" a="1"/>
  <c r="J603" i="1" s="1"/>
  <c r="K602" i="1" a="1"/>
  <c r="K602" i="1" s="1"/>
  <c r="J593" i="1" a="1"/>
  <c r="J593" i="1" s="1"/>
  <c r="L603" i="1" a="1"/>
  <c r="L603" i="1" s="1"/>
  <c r="L602" i="1" a="1"/>
  <c r="L602" i="1" s="1"/>
  <c r="L596" i="1" a="1"/>
  <c r="L596" i="1" s="1"/>
  <c r="L595" i="1" a="1"/>
  <c r="L595" i="1" s="1"/>
  <c r="J592" i="1" a="1"/>
  <c r="J592" i="1" s="1"/>
  <c r="K592" i="1" a="1"/>
  <c r="K592" i="1" s="1"/>
  <c r="K603" i="1" a="1"/>
  <c r="K603" i="1" s="1"/>
  <c r="K596" i="1" a="1"/>
  <c r="K596" i="1" s="1"/>
  <c r="J584" i="1" a="1"/>
  <c r="J584" i="1" s="1"/>
  <c r="J589" i="1" a="1"/>
  <c r="J589" i="1" s="1"/>
  <c r="L585" i="1" a="1"/>
  <c r="L585" i="1" s="1"/>
  <c r="L589" i="1" a="1"/>
  <c r="L589" i="1" s="1"/>
  <c r="K589" i="1" a="1"/>
  <c r="K589" i="1" s="1"/>
  <c r="K584" i="1" a="1"/>
  <c r="K584" i="1" s="1"/>
  <c r="L588" i="1" a="1"/>
  <c r="L588" i="1" s="1"/>
  <c r="K588" i="1" a="1"/>
  <c r="K588" i="1" s="1"/>
  <c r="J588" i="1" a="1"/>
  <c r="J588" i="1" s="1"/>
  <c r="L584" i="1" a="1"/>
  <c r="L584" i="1" s="1"/>
  <c r="K585" i="1" a="1"/>
  <c r="K585" i="1" s="1"/>
  <c r="J585" i="1" a="1"/>
  <c r="J585" i="1" s="1"/>
  <c r="K740" i="1" a="1"/>
  <c r="K740" i="1" s="1"/>
  <c r="J740" i="1" a="1"/>
  <c r="J740" i="1" s="1"/>
  <c r="J743" i="1" a="1"/>
  <c r="J743" i="1" s="1"/>
  <c r="L740" i="1" a="1"/>
  <c r="L740" i="1" s="1"/>
  <c r="L743" i="1" a="1"/>
  <c r="L743" i="1" s="1"/>
  <c r="K743" i="1" a="1"/>
  <c r="K743" i="1" s="1"/>
  <c r="J724" i="1" a="1"/>
  <c r="J724" i="1" s="1"/>
  <c r="K724" i="1" a="1"/>
  <c r="K724" i="1" s="1"/>
  <c r="K727" i="1" a="1"/>
  <c r="K727" i="1" s="1"/>
  <c r="L727" i="1" a="1"/>
  <c r="L727" i="1" s="1"/>
  <c r="J727" i="1" a="1"/>
  <c r="J727" i="1" s="1"/>
  <c r="L724" i="1" a="1"/>
  <c r="L724" i="1" s="1"/>
  <c r="J709" i="1" a="1"/>
  <c r="J709" i="1" s="1"/>
  <c r="J716" i="1" a="1"/>
  <c r="J716" i="1" s="1"/>
  <c r="L711" i="1" a="1"/>
  <c r="L711" i="1" s="1"/>
  <c r="K720" i="1" a="1"/>
  <c r="K720" i="1" s="1"/>
  <c r="J718" i="1" a="1"/>
  <c r="J718" i="1" s="1"/>
  <c r="L709" i="1" a="1"/>
  <c r="L709" i="1" s="1"/>
  <c r="L720" i="1" a="1"/>
  <c r="L720" i="1" s="1"/>
  <c r="K718" i="1" a="1"/>
  <c r="K718" i="1" s="1"/>
  <c r="J720" i="1" a="1"/>
  <c r="J720" i="1" s="1"/>
  <c r="K716" i="1" a="1"/>
  <c r="K716" i="1" s="1"/>
  <c r="K709" i="1" a="1"/>
  <c r="K709" i="1" s="1"/>
  <c r="L719" i="1" a="1"/>
  <c r="L719" i="1" s="1"/>
  <c r="K719" i="1" a="1"/>
  <c r="K719" i="1" s="1"/>
  <c r="J711" i="1" a="1"/>
  <c r="J711" i="1" s="1"/>
  <c r="L716" i="1" a="1"/>
  <c r="L716" i="1" s="1"/>
  <c r="L718" i="1" a="1"/>
  <c r="L718" i="1" s="1"/>
  <c r="K711" i="1" a="1"/>
  <c r="K711" i="1" s="1"/>
  <c r="J719" i="1" a="1"/>
  <c r="J719" i="1" s="1"/>
  <c r="K1709" i="1" a="1"/>
  <c r="K1709" i="1" s="1"/>
  <c r="L1709" i="1" a="1"/>
  <c r="L1709" i="1" s="1"/>
  <c r="K1708" i="1" a="1"/>
  <c r="K1708" i="1" s="1"/>
  <c r="J1709" i="1" a="1"/>
  <c r="J1709" i="1" s="1"/>
  <c r="L1708" i="1" a="1"/>
  <c r="L1708" i="1" s="1"/>
  <c r="J1708" i="1" a="1"/>
  <c r="J1708" i="1" s="1"/>
  <c r="K2340" i="1" a="1"/>
  <c r="K2340" i="1" s="1"/>
  <c r="K2339" i="1" a="1"/>
  <c r="K2339" i="1" s="1"/>
  <c r="J2339" i="1" a="1"/>
  <c r="J2339" i="1" s="1"/>
  <c r="L2339" i="1" a="1"/>
  <c r="L2339" i="1" s="1"/>
  <c r="L2340" i="1" a="1"/>
  <c r="L2340" i="1" s="1"/>
  <c r="J2340" i="1" a="1"/>
  <c r="J2340" i="1" s="1"/>
  <c r="K2338" i="1" a="1"/>
  <c r="K2338" i="1" s="1"/>
  <c r="K2337" i="1" a="1"/>
  <c r="K2337" i="1" s="1"/>
  <c r="K2334" i="1" a="1"/>
  <c r="K2334" i="1" s="1"/>
  <c r="J2336" i="1" a="1"/>
  <c r="J2336" i="1" s="1"/>
  <c r="K2331" i="1" a="1"/>
  <c r="K2331" i="1" s="1"/>
  <c r="J2337" i="1" a="1"/>
  <c r="J2337" i="1" s="1"/>
  <c r="L2332" i="1" a="1"/>
  <c r="L2332" i="1" s="1"/>
  <c r="L2330" i="1" a="1"/>
  <c r="L2330" i="1" s="1"/>
  <c r="J2332" i="1" a="1"/>
  <c r="J2332" i="1" s="1"/>
  <c r="L2331" i="1" a="1"/>
  <c r="L2331" i="1" s="1"/>
  <c r="J2331" i="1" a="1"/>
  <c r="J2331" i="1" s="1"/>
  <c r="L2333" i="1" a="1"/>
  <c r="L2333" i="1" s="1"/>
  <c r="L2337" i="1" a="1"/>
  <c r="L2337" i="1" s="1"/>
  <c r="L2335" i="1" a="1"/>
  <c r="L2335" i="1" s="1"/>
  <c r="J2333" i="1" a="1"/>
  <c r="J2333" i="1" s="1"/>
  <c r="L2334" i="1" a="1"/>
  <c r="L2334" i="1" s="1"/>
  <c r="K2333" i="1" a="1"/>
  <c r="K2333" i="1" s="1"/>
  <c r="K2332" i="1" a="1"/>
  <c r="K2332" i="1" s="1"/>
  <c r="J2335" i="1" a="1"/>
  <c r="J2335" i="1" s="1"/>
  <c r="J2330" i="1" a="1"/>
  <c r="J2330" i="1" s="1"/>
  <c r="L2336" i="1" a="1"/>
  <c r="L2336" i="1" s="1"/>
  <c r="K2336" i="1" a="1"/>
  <c r="K2336" i="1" s="1"/>
  <c r="K2335" i="1" a="1"/>
  <c r="K2335" i="1" s="1"/>
  <c r="J2338" i="1" a="1"/>
  <c r="J2338" i="1" s="1"/>
  <c r="L2338" i="1" a="1"/>
  <c r="L2338" i="1" s="1"/>
  <c r="J2334" i="1" a="1"/>
  <c r="J2334" i="1" s="1"/>
  <c r="K2330" i="1" a="1"/>
  <c r="K2330" i="1" s="1"/>
  <c r="L2327" i="1" a="1"/>
  <c r="L2327" i="1" s="1"/>
  <c r="K2325" i="1" a="1"/>
  <c r="K2325" i="1" s="1"/>
  <c r="J2323" i="1" a="1"/>
  <c r="J2323" i="1" s="1"/>
  <c r="J2322" i="1" s="1" a="1"/>
  <c r="J2322" i="1" s="1"/>
  <c r="K2327" i="1" a="1"/>
  <c r="K2327" i="1" s="1"/>
  <c r="J2327" i="1" a="1"/>
  <c r="J2327" i="1" s="1"/>
  <c r="J2326" i="1" a="1"/>
  <c r="J2326" i="1" s="1"/>
  <c r="K2323" i="1" a="1"/>
  <c r="K2323" i="1" s="1"/>
  <c r="K2322" i="1" s="1" a="1"/>
  <c r="K2322" i="1" s="1"/>
  <c r="L2320" i="1" a="1"/>
  <c r="L2320" i="1" s="1"/>
  <c r="L2319" i="1" s="1" a="1"/>
  <c r="L2319" i="1" s="1"/>
  <c r="K2328" i="1" a="1"/>
  <c r="K2328" i="1" s="1"/>
  <c r="L2323" i="1" a="1"/>
  <c r="L2323" i="1" s="1"/>
  <c r="L2322" i="1" s="1" a="1"/>
  <c r="L2322" i="1" s="1"/>
  <c r="L2329" i="1" a="1"/>
  <c r="L2329" i="1" s="1"/>
  <c r="K2329" i="1" a="1"/>
  <c r="K2329" i="1" s="1"/>
  <c r="J2329" i="1" a="1"/>
  <c r="J2329" i="1" s="1"/>
  <c r="L2326" i="1" a="1"/>
  <c r="L2326" i="1" s="1"/>
  <c r="K2326" i="1" a="1"/>
  <c r="K2326" i="1" s="1"/>
  <c r="J2325" i="1" a="1"/>
  <c r="J2325" i="1" s="1"/>
  <c r="L2325" i="1" a="1"/>
  <c r="L2325" i="1" s="1"/>
  <c r="K2320" i="1" a="1"/>
  <c r="K2320" i="1" s="1"/>
  <c r="K2319" i="1" s="1" a="1"/>
  <c r="K2319" i="1" s="1"/>
  <c r="L2328" i="1" a="1"/>
  <c r="L2328" i="1" s="1"/>
  <c r="J2328" i="1" a="1"/>
  <c r="J2328" i="1" s="1"/>
  <c r="J2320" i="1" a="1"/>
  <c r="J2320" i="1" s="1"/>
  <c r="J2319" i="1" s="1" a="1"/>
  <c r="J2319" i="1" s="1"/>
  <c r="K2316" i="1" a="1"/>
  <c r="K2316" i="1" s="1"/>
  <c r="L2317" i="1" a="1"/>
  <c r="L2317" i="1" s="1"/>
  <c r="K2317" i="1" a="1"/>
  <c r="K2317" i="1" s="1"/>
  <c r="K2314" i="1" a="1"/>
  <c r="K2314" i="1" s="1"/>
  <c r="J2317" i="1" a="1"/>
  <c r="J2317" i="1" s="1"/>
  <c r="L2316" i="1" a="1"/>
  <c r="L2316" i="1" s="1"/>
  <c r="J2316" i="1" a="1"/>
  <c r="J2316" i="1" s="1"/>
  <c r="J2314" i="1" a="1"/>
  <c r="J2314" i="1" s="1"/>
  <c r="L2314" i="1" a="1"/>
  <c r="L2314" i="1" s="1"/>
  <c r="L2048" i="1" a="1"/>
  <c r="L2048" i="1" s="1"/>
  <c r="L2046" i="1" a="1"/>
  <c r="L2046" i="1" s="1"/>
  <c r="K2045" i="1" a="1"/>
  <c r="K2045" i="1" s="1"/>
  <c r="K2047" i="1" a="1"/>
  <c r="K2047" i="1" s="1"/>
  <c r="J2049" i="1" a="1"/>
  <c r="J2049" i="1" s="1"/>
  <c r="L2047" i="1" a="1"/>
  <c r="L2047" i="1" s="1"/>
  <c r="J2045" i="1" a="1"/>
  <c r="J2045" i="1" s="1"/>
  <c r="L2049" i="1" a="1"/>
  <c r="L2049" i="1" s="1"/>
  <c r="J2047" i="1" a="1"/>
  <c r="J2047" i="1" s="1"/>
  <c r="J2046" i="1" a="1"/>
  <c r="J2046" i="1" s="1"/>
  <c r="L2045" i="1" a="1"/>
  <c r="L2045" i="1" s="1"/>
  <c r="K2049" i="1" a="1"/>
  <c r="K2049" i="1" s="1"/>
  <c r="K2048" i="1" a="1"/>
  <c r="K2048" i="1" s="1"/>
  <c r="J2048" i="1" a="1"/>
  <c r="J2048" i="1" s="1"/>
  <c r="K2046" i="1" a="1"/>
  <c r="K2046" i="1" s="1"/>
  <c r="L2042" i="1" a="1"/>
  <c r="L2042" i="1" s="1"/>
  <c r="J2041" i="1" a="1"/>
  <c r="J2041" i="1" s="1"/>
  <c r="L2037" i="1" a="1"/>
  <c r="L2037" i="1" s="1"/>
  <c r="K2039" i="1" a="1"/>
  <c r="K2039" i="1" s="1"/>
  <c r="K2041" i="1" a="1"/>
  <c r="K2041" i="1" s="1"/>
  <c r="J2037" i="1" a="1"/>
  <c r="J2037" i="1" s="1"/>
  <c r="L2044" i="1" a="1"/>
  <c r="L2044" i="1" s="1"/>
  <c r="J2042" i="1" a="1"/>
  <c r="J2042" i="1" s="1"/>
  <c r="L2041" i="1" a="1"/>
  <c r="L2041" i="1" s="1"/>
  <c r="L2043" i="1" a="1"/>
  <c r="L2043" i="1" s="1"/>
  <c r="K2037" i="1" a="1"/>
  <c r="K2037" i="1" s="1"/>
  <c r="K2042" i="1" a="1"/>
  <c r="K2042" i="1" s="1"/>
  <c r="J2044" i="1" a="1"/>
  <c r="J2044" i="1" s="1"/>
  <c r="L2039" i="1" a="1"/>
  <c r="L2039" i="1" s="1"/>
  <c r="L2040" i="1" a="1"/>
  <c r="L2040" i="1" s="1"/>
  <c r="J2039" i="1" a="1"/>
  <c r="J2039" i="1" s="1"/>
  <c r="J2038" i="1" a="1"/>
  <c r="J2038" i="1" s="1"/>
  <c r="L2038" i="1" a="1"/>
  <c r="L2038" i="1" s="1"/>
  <c r="K2044" i="1" a="1"/>
  <c r="K2044" i="1" s="1"/>
  <c r="K2043" i="1" a="1"/>
  <c r="K2043" i="1" s="1"/>
  <c r="J2043" i="1" a="1"/>
  <c r="J2043" i="1" s="1"/>
  <c r="K2040" i="1" a="1"/>
  <c r="K2040" i="1" s="1"/>
  <c r="J2040" i="1" a="1"/>
  <c r="J2040" i="1" s="1"/>
  <c r="K2038" i="1" a="1"/>
  <c r="K2038" i="1" s="1"/>
  <c r="J2034" i="1" a="1"/>
  <c r="J2034" i="1" s="1"/>
  <c r="L2029" i="1" a="1"/>
  <c r="L2029" i="1" s="1"/>
  <c r="L2028" i="1" s="1" a="1"/>
  <c r="L2028" i="1" s="1"/>
  <c r="K2034" i="1" a="1"/>
  <c r="K2034" i="1" s="1"/>
  <c r="L2032" i="1" a="1"/>
  <c r="L2032" i="1" s="1"/>
  <c r="L2031" i="1" s="1" a="1"/>
  <c r="L2031" i="1" s="1"/>
  <c r="K2032" i="1" a="1"/>
  <c r="K2032" i="1" s="1"/>
  <c r="K2031" i="1" s="1" a="1"/>
  <c r="K2031" i="1" s="1"/>
  <c r="J2032" i="1" a="1"/>
  <c r="J2032" i="1" s="1"/>
  <c r="J2031" i="1" s="1" a="1"/>
  <c r="J2031" i="1" s="1"/>
  <c r="K2029" i="1" a="1"/>
  <c r="K2029" i="1" s="1"/>
  <c r="K2028" i="1" s="1" a="1"/>
  <c r="K2028" i="1" s="1"/>
  <c r="J2029" i="1" a="1"/>
  <c r="J2029" i="1" s="1"/>
  <c r="J2028" i="1" s="1" a="1"/>
  <c r="J2028" i="1" s="1"/>
  <c r="L2036" i="1" a="1"/>
  <c r="L2036" i="1" s="1"/>
  <c r="K2036" i="1" a="1"/>
  <c r="K2036" i="1" s="1"/>
  <c r="J2036" i="1" a="1"/>
  <c r="J2036" i="1" s="1"/>
  <c r="L2035" i="1" a="1"/>
  <c r="L2035" i="1" s="1"/>
  <c r="K2035" i="1" a="1"/>
  <c r="K2035" i="1" s="1"/>
  <c r="J2035" i="1" a="1"/>
  <c r="J2035" i="1" s="1"/>
  <c r="L2034" i="1" a="1"/>
  <c r="L2034" i="1" s="1"/>
  <c r="K2025" i="1" a="1"/>
  <c r="K2025" i="1" s="1"/>
  <c r="J2023" i="1" a="1"/>
  <c r="J2023" i="1" s="1"/>
  <c r="L2025" i="1" a="1"/>
  <c r="L2025" i="1" s="1"/>
  <c r="J2025" i="1" a="1"/>
  <c r="J2025" i="1" s="1"/>
  <c r="K2023" i="1" a="1"/>
  <c r="K2023" i="1" s="1"/>
  <c r="L2023" i="1" a="1"/>
  <c r="L2023" i="1" s="1"/>
  <c r="J2026" i="1" a="1"/>
  <c r="J2026" i="1" s="1"/>
  <c r="L2026" i="1" a="1"/>
  <c r="L2026" i="1" s="1"/>
  <c r="K2026" i="1" a="1"/>
  <c r="K2026" i="1" s="1"/>
  <c r="L19" i="1"/>
  <c r="L18" i="1" s="1"/>
  <c r="K19" i="1"/>
  <c r="K18" i="1" s="1"/>
  <c r="J19" i="1"/>
  <c r="J18" i="1" s="1"/>
  <c r="K242" i="1" a="1"/>
  <c r="K242" i="1" s="1"/>
  <c r="K241" i="1" s="1"/>
  <c r="K316" i="1" s="1"/>
  <c r="K471" i="1" s="1"/>
  <c r="J242" i="1" a="1"/>
  <c r="J242" i="1" s="1"/>
  <c r="L242" i="1" a="1"/>
  <c r="L242" i="1" s="1"/>
  <c r="L241" i="1" s="1"/>
  <c r="L199" i="1" a="1"/>
  <c r="L199" i="1" s="1"/>
  <c r="K199" i="1" a="1"/>
  <c r="K199" i="1" s="1"/>
  <c r="K198" i="1" s="1"/>
  <c r="J199" i="1" a="1"/>
  <c r="J199" i="1" s="1"/>
  <c r="K61" i="1" a="1"/>
  <c r="K61" i="1" s="1"/>
  <c r="K59" i="1" a="1"/>
  <c r="K59" i="1" s="1"/>
  <c r="J62" i="1" a="1"/>
  <c r="J62" i="1" s="1"/>
  <c r="L61" i="1" a="1"/>
  <c r="L61" i="1" s="1"/>
  <c r="J59" i="1" a="1"/>
  <c r="J59" i="1" s="1"/>
  <c r="J60" i="1" a="1"/>
  <c r="J60" i="1" s="1"/>
  <c r="J61" i="1" a="1"/>
  <c r="J61" i="1" s="1"/>
  <c r="K60" i="1" a="1"/>
  <c r="K60" i="1" s="1"/>
  <c r="K62" i="1" a="1"/>
  <c r="K62" i="1" s="1"/>
  <c r="L62" i="1" a="1"/>
  <c r="L62" i="1" s="1"/>
  <c r="L59" i="1" a="1"/>
  <c r="L59" i="1" s="1"/>
  <c r="L60" i="1" a="1"/>
  <c r="L60" i="1" s="1"/>
  <c r="L52" i="1" a="1"/>
  <c r="L52" i="1" s="1"/>
  <c r="K53" i="1" a="1"/>
  <c r="K53" i="1" s="1"/>
  <c r="L53" i="1" a="1"/>
  <c r="L53" i="1" s="1"/>
  <c r="J53" i="1" a="1"/>
  <c r="J53" i="1" s="1"/>
  <c r="J52" i="1" a="1"/>
  <c r="J52" i="1" s="1"/>
  <c r="J54" i="1" a="1"/>
  <c r="J54" i="1" s="1"/>
  <c r="K52" i="1" a="1"/>
  <c r="K52" i="1" s="1"/>
  <c r="J55" i="1" a="1"/>
  <c r="J55" i="1" s="1"/>
  <c r="K54" i="1" a="1"/>
  <c r="K54" i="1" s="1"/>
  <c r="L55" i="1" a="1"/>
  <c r="L55" i="1" s="1"/>
  <c r="K55" i="1" a="1"/>
  <c r="K55" i="1" s="1"/>
  <c r="L54" i="1" a="1"/>
  <c r="L54" i="1" s="1"/>
  <c r="J15" i="1" a="1"/>
  <c r="J15" i="1" s="1"/>
  <c r="L15" i="1" a="1"/>
  <c r="L15" i="1" s="1"/>
  <c r="L13" i="1" a="1"/>
  <c r="L13" i="1" s="1"/>
  <c r="L14" i="1" a="1"/>
  <c r="L14" i="1" s="1"/>
  <c r="K15" i="1" a="1"/>
  <c r="K15" i="1" s="1"/>
  <c r="K14" i="1" a="1"/>
  <c r="K14" i="1" s="1"/>
  <c r="J14" i="1" a="1"/>
  <c r="J14" i="1" s="1"/>
  <c r="J13" i="1" a="1"/>
  <c r="J13" i="1" s="1"/>
  <c r="K13" i="1" a="1"/>
  <c r="K13" i="1" s="1"/>
  <c r="K284" i="1" a="1"/>
  <c r="K284" i="1" s="1"/>
  <c r="K283" i="1" s="1"/>
  <c r="L284" i="1" a="1"/>
  <c r="L284" i="1" s="1"/>
  <c r="L275" i="1" a="1"/>
  <c r="L275" i="1" s="1"/>
  <c r="J275" i="1" a="1"/>
  <c r="J275" i="1" s="1"/>
  <c r="J274" i="1" s="1"/>
  <c r="K275" i="1" a="1"/>
  <c r="K275" i="1" s="1"/>
  <c r="K274" i="1" s="1"/>
  <c r="J284" i="1" a="1"/>
  <c r="J284" i="1" s="1"/>
  <c r="K50" i="1" a="1"/>
  <c r="K50" i="1" s="1"/>
  <c r="L56" i="1" a="1"/>
  <c r="L56" i="1" s="1"/>
  <c r="L50" i="1" a="1"/>
  <c r="L50" i="1" s="1"/>
  <c r="K56" i="1" a="1"/>
  <c r="K56" i="1" s="1"/>
  <c r="J50" i="1" a="1"/>
  <c r="J50" i="1" s="1"/>
  <c r="J56" i="1" a="1"/>
  <c r="J56" i="1" s="1"/>
  <c r="L45" i="1" a="1"/>
  <c r="L45" i="1" s="1"/>
  <c r="J44" i="1" a="1"/>
  <c r="J44" i="1" s="1"/>
  <c r="K43" i="1" a="1"/>
  <c r="K43" i="1" s="1"/>
  <c r="J43" i="1" a="1"/>
  <c r="J43" i="1" s="1"/>
  <c r="J28" i="1" a="1"/>
  <c r="J28" i="1" s="1"/>
  <c r="J45" i="1" a="1"/>
  <c r="J45" i="1" s="1"/>
  <c r="L44" i="1" a="1"/>
  <c r="L44" i="1" s="1"/>
  <c r="L43" i="1" a="1"/>
  <c r="L43" i="1" s="1"/>
  <c r="K28" i="1" a="1"/>
  <c r="K28" i="1" s="1"/>
  <c r="L28" i="1" a="1"/>
  <c r="L28" i="1" s="1"/>
  <c r="K45" i="1" a="1"/>
  <c r="K45" i="1" s="1"/>
  <c r="K44" i="1" a="1"/>
  <c r="K44" i="1" s="1"/>
  <c r="J24" i="1" a="1"/>
  <c r="J24" i="1" s="1"/>
  <c r="L25" i="1" a="1"/>
  <c r="L25" i="1" s="1"/>
  <c r="J26" i="1" a="1"/>
  <c r="J26" i="1" s="1"/>
  <c r="K27" i="1" a="1"/>
  <c r="K27" i="1" s="1"/>
  <c r="L26" i="1" a="1"/>
  <c r="L26" i="1" s="1"/>
  <c r="J27" i="1" a="1"/>
  <c r="J27" i="1" s="1"/>
  <c r="L24" i="1" a="1"/>
  <c r="L24" i="1" s="1"/>
  <c r="K24" i="1" a="1"/>
  <c r="K24" i="1" s="1"/>
  <c r="K25" i="1" a="1"/>
  <c r="K25" i="1" s="1"/>
  <c r="J25" i="1" a="1"/>
  <c r="J25" i="1" s="1"/>
  <c r="K26" i="1" a="1"/>
  <c r="K26" i="1" s="1"/>
  <c r="L27" i="1" a="1"/>
  <c r="L27" i="1" s="1"/>
  <c r="L17" i="1" a="1"/>
  <c r="L17" i="1" s="1"/>
  <c r="K17" i="1" a="1"/>
  <c r="K17" i="1" s="1"/>
  <c r="J17" i="1" a="1"/>
  <c r="J17" i="1" s="1"/>
  <c r="L16" i="1" a="1"/>
  <c r="L16" i="1" s="1"/>
  <c r="K21" i="1" a="1"/>
  <c r="K21" i="1" s="1"/>
  <c r="K16" i="1" a="1"/>
  <c r="K16" i="1" s="1"/>
  <c r="J21" i="1" a="1"/>
  <c r="J21" i="1"/>
  <c r="L11" i="1" a="1"/>
  <c r="L11" i="1" s="1"/>
  <c r="L21" i="1" a="1"/>
  <c r="L21" i="1" s="1"/>
  <c r="K11" i="1" a="1"/>
  <c r="K11" i="1" s="1"/>
  <c r="L9" i="1" a="1"/>
  <c r="L9" i="1" s="1"/>
  <c r="L10" i="1" a="1"/>
  <c r="L10" i="1" s="1"/>
  <c r="K10" i="1" a="1"/>
  <c r="K10" i="1" s="1"/>
  <c r="J10" i="1" a="1"/>
  <c r="J10" i="1" s="1"/>
  <c r="J9" i="1" a="1"/>
  <c r="J9" i="1" s="1"/>
  <c r="L6" i="1" a="1"/>
  <c r="L6" i="1" s="1"/>
  <c r="K9" i="1" a="1"/>
  <c r="K9" i="1" s="1"/>
  <c r="J7" i="1" a="1"/>
  <c r="J7" i="1" s="1"/>
  <c r="J4" i="1" a="1"/>
  <c r="J4" i="1" s="1"/>
  <c r="L5" i="1" a="1"/>
  <c r="L5" i="1" s="1"/>
  <c r="K4" i="1" a="1"/>
  <c r="K4" i="1" s="1"/>
  <c r="L4" i="1" a="1"/>
  <c r="L4" i="1" s="1"/>
  <c r="K6" i="1" a="1"/>
  <c r="K6" i="1" s="1"/>
  <c r="L7" i="1" a="1"/>
  <c r="L7" i="1" s="1"/>
  <c r="K7" i="1" a="1"/>
  <c r="K7" i="1" s="1"/>
  <c r="J6" i="1" a="1"/>
  <c r="J6" i="1" s="1"/>
  <c r="K5" i="1" a="1"/>
  <c r="K5" i="1" s="1"/>
  <c r="J16" i="1" a="1"/>
  <c r="J16" i="1" s="1"/>
  <c r="J11" i="1" a="1"/>
  <c r="J11" i="1" s="1"/>
  <c r="J5" i="1" a="1"/>
  <c r="J5" i="1" s="1"/>
  <c r="L380" i="1" l="1"/>
  <c r="L437" i="1" s="1"/>
  <c r="L123" i="1"/>
  <c r="L319" i="1"/>
  <c r="L323" i="1"/>
  <c r="L478" i="1" s="1"/>
  <c r="K384" i="1"/>
  <c r="K515" i="1" s="1"/>
  <c r="J386" i="1"/>
  <c r="J517" i="1" s="1"/>
  <c r="J315" i="1"/>
  <c r="J420" i="1" s="1"/>
  <c r="J380" i="1"/>
  <c r="J437" i="1" s="1"/>
  <c r="L315" i="1"/>
  <c r="L420" i="1" s="1"/>
  <c r="L314" i="1"/>
  <c r="L419" i="1" s="1"/>
  <c r="K322" i="1"/>
  <c r="K477" i="1" s="1"/>
  <c r="J319" i="1"/>
  <c r="J474" i="1" s="1"/>
  <c r="J399" i="1"/>
  <c r="J519" i="1" s="1"/>
  <c r="K300" i="1"/>
  <c r="K413" i="1" s="1"/>
  <c r="J314" i="1"/>
  <c r="J419" i="1" s="1"/>
  <c r="K320" i="1"/>
  <c r="K475" i="1" s="1"/>
  <c r="L399" i="1"/>
  <c r="L519" i="1" s="1"/>
  <c r="K399" i="1"/>
  <c r="K519" i="1" s="1"/>
  <c r="K318" i="1"/>
  <c r="K473" i="1" s="1"/>
  <c r="L321" i="1"/>
  <c r="L476" i="1" s="1"/>
  <c r="J384" i="1"/>
  <c r="J515" i="1" s="1"/>
  <c r="J300" i="1"/>
  <c r="J413" i="1" s="1"/>
  <c r="J325" i="1"/>
  <c r="J480" i="1" s="1"/>
  <c r="J323" i="1"/>
  <c r="J478" i="1" s="1"/>
  <c r="J385" i="1"/>
  <c r="J516" i="1" s="1"/>
  <c r="L386" i="1"/>
  <c r="L517" i="1" s="1"/>
  <c r="J398" i="1"/>
  <c r="J439" i="1" s="1"/>
  <c r="L320" i="1"/>
  <c r="L475" i="1" s="1"/>
  <c r="L124" i="1"/>
  <c r="K899" i="1"/>
  <c r="L398" i="1"/>
  <c r="L439" i="1" s="1"/>
  <c r="K783" i="1"/>
  <c r="K786" i="1"/>
  <c r="K787" i="1" s="1"/>
  <c r="L324" i="1"/>
  <c r="L479" i="1" s="1"/>
  <c r="K319" i="1"/>
  <c r="K474" i="1" s="1"/>
  <c r="L384" i="1"/>
  <c r="L515" i="1" s="1"/>
  <c r="K129" i="1"/>
  <c r="K325" i="1"/>
  <c r="K480" i="1" s="1"/>
  <c r="J400" i="1"/>
  <c r="J520" i="1" s="1"/>
  <c r="L400" i="1"/>
  <c r="L520" i="1" s="1"/>
  <c r="J124" i="1"/>
  <c r="J320" i="1"/>
  <c r="J475" i="1" s="1"/>
  <c r="K385" i="1"/>
  <c r="K516" i="1" s="1"/>
  <c r="K323" i="1"/>
  <c r="K478" i="1" s="1"/>
  <c r="K380" i="1"/>
  <c r="K437" i="1" s="1"/>
  <c r="J321" i="1"/>
  <c r="J476" i="1" s="1"/>
  <c r="K324" i="1"/>
  <c r="K479" i="1" s="1"/>
  <c r="L474" i="1"/>
  <c r="K301" i="1"/>
  <c r="K465" i="1" s="1"/>
  <c r="K400" i="1"/>
  <c r="K520" i="1" s="1"/>
  <c r="K386" i="1"/>
  <c r="K517" i="1" s="1"/>
  <c r="K314" i="1"/>
  <c r="K419" i="1" s="1"/>
  <c r="K398" i="1"/>
  <c r="K439" i="1" s="1"/>
  <c r="J198" i="1"/>
  <c r="J361" i="1" s="1"/>
  <c r="J428" i="1" s="1"/>
  <c r="J362" i="1"/>
  <c r="J429" i="1" s="1"/>
  <c r="J364" i="1"/>
  <c r="L364" i="1"/>
  <c r="L274" i="1"/>
  <c r="L363" i="1" s="1"/>
  <c r="L504" i="1" s="1"/>
  <c r="L383" i="1"/>
  <c r="L514" i="1" s="1"/>
  <c r="L283" i="1"/>
  <c r="L382" i="1" s="1"/>
  <c r="L513" i="1" s="1"/>
  <c r="J283" i="1"/>
  <c r="J382" i="1" s="1"/>
  <c r="J513" i="1" s="1"/>
  <c r="J383" i="1"/>
  <c r="J514" i="1" s="1"/>
  <c r="K363" i="1"/>
  <c r="K504" i="1" s="1"/>
  <c r="J241" i="1"/>
  <c r="J316" i="1" s="1"/>
  <c r="J471" i="1" s="1"/>
  <c r="J317" i="1"/>
  <c r="J472" i="1" s="1"/>
  <c r="K119" i="1"/>
  <c r="K315" i="1"/>
  <c r="K420" i="1" s="1"/>
  <c r="K383" i="1"/>
  <c r="K514" i="1" s="1"/>
  <c r="L318" i="1"/>
  <c r="L473" i="1" s="1"/>
  <c r="J118" i="1"/>
  <c r="K123" i="1"/>
  <c r="J324" i="1"/>
  <c r="J479" i="1" s="1"/>
  <c r="K125" i="1"/>
  <c r="K321" i="1"/>
  <c r="K476" i="1" s="1"/>
  <c r="L118" i="1"/>
  <c r="J363" i="1"/>
  <c r="J504" i="1" s="1"/>
  <c r="L300" i="1"/>
  <c r="L413" i="1" s="1"/>
  <c r="L316" i="1"/>
  <c r="L471" i="1" s="1"/>
  <c r="L120" i="1"/>
  <c r="L322" i="1"/>
  <c r="L477" i="1" s="1"/>
  <c r="L126" i="1"/>
  <c r="L129" i="1"/>
  <c r="L325" i="1"/>
  <c r="L480" i="1" s="1"/>
  <c r="K361" i="1"/>
  <c r="K428" i="1" s="1"/>
  <c r="K726" i="1" a="1"/>
  <c r="K726" i="1" s="1"/>
  <c r="K728" i="1" s="1" a="1"/>
  <c r="K728" i="1" s="1"/>
  <c r="K742" i="1" a="1"/>
  <c r="K742" i="1" s="1"/>
  <c r="K744" i="1" s="1" a="1"/>
  <c r="K744" i="1" s="1"/>
  <c r="K364" i="1"/>
  <c r="L362" i="1"/>
  <c r="L429" i="1" s="1"/>
  <c r="L198" i="1"/>
  <c r="L361" i="1" s="1"/>
  <c r="L428" i="1" s="1"/>
  <c r="K382" i="1"/>
  <c r="K513" i="1" s="1"/>
  <c r="J783" i="1"/>
  <c r="L726" i="1" a="1"/>
  <c r="L726" i="1" s="1"/>
  <c r="L728" i="1" s="1" a="1"/>
  <c r="L728" i="1" s="1"/>
  <c r="L742" i="1" a="1"/>
  <c r="L742" i="1" s="1"/>
  <c r="L744" i="1" s="1" a="1"/>
  <c r="L744" i="1" s="1"/>
  <c r="K317" i="1"/>
  <c r="K472" i="1" s="1"/>
  <c r="K121" i="1"/>
  <c r="J322" i="1"/>
  <c r="J477" i="1" s="1"/>
  <c r="J742" i="1" a="1"/>
  <c r="J742" i="1" s="1"/>
  <c r="J744" i="1" s="1" a="1"/>
  <c r="J744" i="1" s="1"/>
  <c r="J726" i="1" a="1"/>
  <c r="J726" i="1" s="1"/>
  <c r="J728" i="1" s="1" a="1"/>
  <c r="J728" i="1" s="1"/>
  <c r="K362" i="1"/>
  <c r="K429" i="1" s="1"/>
  <c r="J318" i="1"/>
  <c r="J473" i="1" s="1"/>
  <c r="K902" i="1"/>
  <c r="K903" i="1"/>
  <c r="K925" i="1"/>
  <c r="K924" i="1" s="1"/>
  <c r="J902" i="1"/>
  <c r="J899" i="1"/>
  <c r="K118" i="1"/>
  <c r="K124" i="1"/>
  <c r="L902" i="1"/>
  <c r="L899" i="1"/>
  <c r="J903" i="1"/>
  <c r="L317" i="1"/>
  <c r="L472" i="1" s="1"/>
  <c r="L385" i="1"/>
  <c r="L516" i="1" s="1"/>
  <c r="L903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14" i="1" s="1"/>
  <c r="L1011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05" i="1" l="1"/>
  <c r="L1002" i="1" s="1"/>
  <c r="L1004" i="1"/>
  <c r="L1555" i="1"/>
  <c r="L1160" i="1"/>
  <c r="L1602" i="1"/>
  <c r="L1511" i="1"/>
  <c r="L1652" i="1"/>
  <c r="L1512" i="1"/>
  <c r="L1161" i="1"/>
  <c r="L1653" i="1"/>
  <c r="L1603" i="1"/>
  <c r="L1601" i="1" s="1"/>
  <c r="L1556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330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562" i="1" l="1"/>
  <c r="L1658" i="1"/>
  <c r="L1659" i="1" s="1"/>
  <c r="L1183" i="1"/>
  <c r="L1617" i="1"/>
  <c r="L1428" i="1"/>
  <c r="L1344" i="1"/>
  <c r="L1570" i="1"/>
  <c r="L1609" i="1"/>
  <c r="L1207" i="1"/>
  <c r="L1618" i="1"/>
  <c r="L1571" i="1"/>
  <c r="L1345" i="1"/>
  <c r="L1429" i="1"/>
  <c r="L1610" i="1"/>
  <c r="L1184" i="1"/>
  <c r="L1563" i="1"/>
  <c r="L1561" i="1" s="1"/>
  <c r="L1560" i="1" s="1"/>
  <c r="L1331" i="1"/>
  <c r="L1415" i="1"/>
  <c r="L1414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182" i="1" l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6" i="1" l="1" a="1"/>
  <c r="L736" i="1" s="1"/>
  <c r="L737" i="1" s="1"/>
  <c r="L738" i="1" a="1"/>
  <c r="L738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I1653" i="1" l="1"/>
  <c r="F1653" i="1"/>
  <c r="H1653" i="1"/>
  <c r="G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G1618" i="1"/>
  <c r="G1571" i="1"/>
  <c r="H1571" i="1"/>
  <c r="F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I1556" i="1" l="1"/>
  <c r="H1563" i="1"/>
  <c r="H1610" i="1"/>
  <c r="F1556" i="1"/>
  <c r="H1603" i="1"/>
  <c r="G1603" i="1"/>
  <c r="F1563" i="1"/>
  <c r="I1610" i="1"/>
  <c r="F1603" i="1"/>
  <c r="F1610" i="1"/>
  <c r="G1556" i="1"/>
  <c r="G1563" i="1"/>
  <c r="I1603" i="1"/>
  <c r="I156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F1415" i="1"/>
  <c r="H1512" i="1"/>
  <c r="H1429" i="1"/>
  <c r="I1415" i="1"/>
  <c r="H1415" i="1"/>
  <c r="I1429" i="1"/>
  <c r="F1429" i="1"/>
  <c r="G1429" i="1"/>
  <c r="G1415" i="1"/>
  <c r="G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H1331" i="1"/>
  <c r="I1331" i="1"/>
  <c r="F1331" i="1"/>
  <c r="H1345" i="1"/>
  <c r="G1345" i="1"/>
  <c r="I1345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G1207" i="1"/>
  <c r="G1184" i="1"/>
  <c r="F1207" i="1"/>
  <c r="H1184" i="1"/>
  <c r="F1184" i="1"/>
  <c r="H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428" i="1"/>
  <c r="F1427" i="1" s="1"/>
  <c r="F1426" i="1" s="1"/>
  <c r="F1344" i="1"/>
  <c r="F1343" i="1" s="1"/>
  <c r="F1342" i="1" s="1"/>
  <c r="F1206" i="1"/>
  <c r="F1205" i="1" s="1"/>
  <c r="F1204" i="1" s="1"/>
  <c r="G1617" i="1"/>
  <c r="G1616" i="1" s="1"/>
  <c r="G1615" i="1" s="1"/>
  <c r="G1570" i="1"/>
  <c r="G1569" i="1" s="1"/>
  <c r="G1568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569" i="1"/>
  <c r="F1568" i="1" s="1"/>
  <c r="F1616" i="1"/>
  <c r="F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570" i="1" s="1"/>
  <c r="J1344" i="1" l="1"/>
  <c r="J1206" i="1"/>
  <c r="J1428" i="1"/>
  <c r="K1618" i="1"/>
  <c r="K1571" i="1"/>
  <c r="K1345" i="1"/>
  <c r="K1429" i="1"/>
  <c r="K1207" i="1"/>
  <c r="K1344" i="1"/>
  <c r="K1206" i="1"/>
  <c r="K1428" i="1"/>
  <c r="K1617" i="1"/>
  <c r="K1570" i="1"/>
  <c r="J1618" i="1"/>
  <c r="J1571" i="1"/>
  <c r="J1345" i="1"/>
  <c r="J1207" i="1"/>
  <c r="J1429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F1652" i="1"/>
  <c r="F1555" i="1"/>
  <c r="F1602" i="1"/>
  <c r="F1601" i="1" s="1"/>
  <c r="F1600" i="1" s="1"/>
  <c r="F1511" i="1"/>
  <c r="F1510" i="1" s="1"/>
  <c r="F1509" i="1" s="1"/>
  <c r="F1160" i="1"/>
  <c r="F1159" i="1" s="1"/>
  <c r="F1158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F1658" i="1"/>
  <c r="F1659" i="1" s="1"/>
  <c r="F1562" i="1"/>
  <c r="F1609" i="1"/>
  <c r="F1414" i="1"/>
  <c r="F1330" i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F1608" i="1"/>
  <c r="F1607" i="1" s="1"/>
  <c r="F1329" i="1"/>
  <c r="F1328" i="1" s="1"/>
  <c r="F1182" i="1"/>
  <c r="F1181" i="1" s="1"/>
  <c r="F1651" i="1"/>
  <c r="F1554" i="1"/>
  <c r="F1553" i="1" s="1"/>
  <c r="I1561" i="1"/>
  <c r="I1560" i="1" s="1"/>
  <c r="F1561" i="1"/>
  <c r="F1560" i="1" s="1"/>
  <c r="F1413" i="1"/>
  <c r="F1412" i="1" s="1"/>
  <c r="G1159" i="1"/>
  <c r="G1158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330" i="1" s="1"/>
  <c r="J1414" i="1" l="1"/>
  <c r="J1609" i="1"/>
  <c r="K1160" i="1"/>
  <c r="K1183" i="1"/>
  <c r="K1609" i="1"/>
  <c r="K1511" i="1"/>
  <c r="J1658" i="1"/>
  <c r="J1659" i="1" s="1"/>
  <c r="K1562" i="1"/>
  <c r="K1658" i="1"/>
  <c r="K1659" i="1" s="1"/>
  <c r="K1555" i="1"/>
  <c r="K1414" i="1"/>
  <c r="K1602" i="1"/>
  <c r="J1562" i="1"/>
  <c r="J1512" i="1"/>
  <c r="J1653" i="1"/>
  <c r="J1603" i="1"/>
  <c r="J1556" i="1"/>
  <c r="J1161" i="1"/>
  <c r="J1511" i="1"/>
  <c r="J1555" i="1"/>
  <c r="K1184" i="1"/>
  <c r="K1415" i="1"/>
  <c r="K1610" i="1"/>
  <c r="K1563" i="1"/>
  <c r="K1331" i="1"/>
  <c r="J1602" i="1"/>
  <c r="J1160" i="1"/>
  <c r="J1415" i="1"/>
  <c r="J1184" i="1"/>
  <c r="J1610" i="1"/>
  <c r="J1563" i="1"/>
  <c r="J1331" i="1"/>
  <c r="K1512" i="1"/>
  <c r="K1653" i="1"/>
  <c r="K1603" i="1"/>
  <c r="K1556" i="1"/>
  <c r="K1161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<sst xmlns="http://schemas.openxmlformats.org/spreadsheetml/2006/main" count="5204" uniqueCount="2482">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</sst>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SOC_Mid_2035.xlsx" TargetMode="External"/><Relationship Id="rId2" Type="http://schemas.openxmlformats.org/officeDocument/2006/relationships/externalLinkPath" Target="file:///J:\WP07%20integrated%20modelling\STEM_Results\SPS1_CLI_BSM_SOC_Mid_2035.xlsx" TargetMode="External"/><Relationship Id="rId1" Type="http://schemas.openxmlformats.org/officeDocument/2006/relationships/externalLinkPath" Target="/WP07%20integrated%20modelling/STEM_Results/SPS1_CLI_BSM_SOC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1.5932191672569473E-4</v>
          </cell>
          <cell r="J4">
            <v>1.0764226974924453E-4</v>
          </cell>
          <cell r="K4">
            <v>4.4063942454728604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4.3752217914222281E-5</v>
          </cell>
          <cell r="J5">
            <v>2.6357560787420744E-5</v>
          </cell>
          <cell r="K5">
            <v>2.3833393957486644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1.9657168536760491E-5</v>
          </cell>
          <cell r="J6">
            <v>1.1930886509361426E-5</v>
          </cell>
          <cell r="K6">
            <v>1.7643278573862481E-5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1.9728039154878617E-5</v>
          </cell>
          <cell r="J7">
            <v>1.1948761598291026E-5</v>
          </cell>
          <cell r="K7">
            <v>1.77747691832994E-5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1.9711730773122477E-5</v>
          </cell>
          <cell r="J8">
            <v>1.193902369243997E-5</v>
          </cell>
          <cell r="K8">
            <v>1.7711090597400008E-5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2.0612416422585049E-5</v>
          </cell>
          <cell r="J9">
            <v>1.706513759120931E-5</v>
          </cell>
          <cell r="K9">
            <v>0.93126228741135708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2.2088989045976025E-5</v>
          </cell>
          <cell r="J10">
            <v>1.7512053456755147E-5</v>
          </cell>
          <cell r="K10">
            <v>1.0917236798325713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1.3751200920048969E-5</v>
          </cell>
          <cell r="J11">
            <v>1.0863032478591613E-5</v>
          </cell>
          <cell r="K11">
            <v>1.5699107971514836E-5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0.48337941799649042</v>
          </cell>
          <cell r="J12">
            <v>1.8059836164204102</v>
          </cell>
          <cell r="K12">
            <v>2.7089758399911048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0.48337941799649042</v>
          </cell>
          <cell r="J13">
            <v>1.8059836164204102</v>
          </cell>
          <cell r="K13">
            <v>2.7089758399911048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3.5296541390251499E-2</v>
          </cell>
          <cell r="J14">
            <v>5.6156887554670701E-2</v>
          </cell>
          <cell r="K14">
            <v>0.16253619830443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5.03061605376426E-2</v>
          </cell>
          <cell r="J15">
            <v>0.20868729886691301</v>
          </cell>
          <cell r="K15">
            <v>0.31392335725649601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1.2881740108826309</v>
          </cell>
          <cell r="J16">
            <v>1.388487933283765</v>
          </cell>
          <cell r="K16">
            <v>1.2217049552687345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1.2881740108826309</v>
          </cell>
          <cell r="J17">
            <v>1.388487933283765</v>
          </cell>
          <cell r="K17">
            <v>1.2217049552687345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0.23162489491415714</v>
          </cell>
          <cell r="J18">
            <v>0.66889523659791428</v>
          </cell>
          <cell r="K18">
            <v>0.4243744255266344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0.37696752282978785</v>
          </cell>
          <cell r="J19">
            <v>0.75759616097671922</v>
          </cell>
          <cell r="K19">
            <v>0.46904541768733443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36.425390265123298</v>
          </cell>
          <cell r="J20">
            <v>105.266001611869</v>
          </cell>
          <cell r="K20">
            <v>66.6305376313707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0.64584025292771807</v>
          </cell>
          <cell r="J21">
            <v>1.8664184682955416</v>
          </cell>
          <cell r="K21">
            <v>1.1813925111945158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4.61628339226813E-2</v>
          </cell>
          <cell r="J22">
            <v>2.8683783347209802E-7</v>
          </cell>
          <cell r="K22">
            <v>5.0752368193667796E-3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5.5073077491520295E-2</v>
          </cell>
          <cell r="J23">
            <v>5.5073235292954541E-2</v>
          </cell>
          <cell r="K23">
            <v>4.4177260003455308E-2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2.4286666658058758E-5</v>
          </cell>
          <cell r="J24">
            <v>1.9213436964037667E-5</v>
          </cell>
          <cell r="K24">
            <v>1.6855801049033851E-5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2.4286666658058758E-5</v>
          </cell>
          <cell r="J25">
            <v>1.9213436964037667E-5</v>
          </cell>
          <cell r="K25">
            <v>1.6855801049033851E-5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6.6592195435041294E-8</v>
          </cell>
          <cell r="J26">
            <v>9.3295066299899404E-8</v>
          </cell>
          <cell r="K26">
            <v>1.32458917841917E-7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4.5935332248170369E-5</v>
          </cell>
          <cell r="J27">
            <v>4.5724537151903277E-5</v>
          </cell>
          <cell r="K27">
            <v>4.5635666257703988E-5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0.42051735408091673</v>
          </cell>
          <cell r="J28">
            <v>0.55920673554864164</v>
          </cell>
          <cell r="K28">
            <v>0.80147917509845512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0.42051735408091639</v>
          </cell>
          <cell r="J29">
            <v>0.5592067355486412</v>
          </cell>
          <cell r="K29">
            <v>0.80147917509845423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0.46503534563380283</v>
          </cell>
          <cell r="J30">
            <v>0.61840704889022735</v>
          </cell>
          <cell r="K30">
            <v>0.88632760852790016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0.46503534563380283</v>
          </cell>
          <cell r="J31">
            <v>0.61840704889022735</v>
          </cell>
          <cell r="K31">
            <v>0.88632760852790016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7.8195536862669696E-2</v>
          </cell>
          <cell r="J32">
            <v>0.31753788552777301</v>
          </cell>
          <cell r="K32">
            <v>0.36336134439317203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0.22576817556704781</v>
          </cell>
          <cell r="J33">
            <v>0.4106160181874936</v>
          </cell>
          <cell r="K33">
            <v>0.53633067571531945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2.5136620850250821</v>
          </cell>
          <cell r="J34">
            <v>4.7839604727207821</v>
          </cell>
          <cell r="K34"/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2.5108691271528358</v>
          </cell>
          <cell r="J35">
            <v>4.7839604727207856</v>
          </cell>
          <cell r="K35"/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2.7929576293835838</v>
          </cell>
          <cell r="J36">
            <v>5.1440434830987805</v>
          </cell>
          <cell r="K36"/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2.7929576293835838</v>
          </cell>
          <cell r="J37">
            <v>5.1440434830987805</v>
          </cell>
          <cell r="K37"/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1.4871983440574E-5</v>
          </cell>
          <cell r="J38">
            <v>0.27066072595527002</v>
          </cell>
          <cell r="K38">
            <v>3.3221564171260798E-7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0.1571417223234115</v>
          </cell>
          <cell r="J39">
            <v>0.29850342333989704</v>
          </cell>
          <cell r="K39">
            <v>1.4659921369100659E-4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8.5779154963626546E-5</v>
          </cell>
          <cell r="J40">
            <v>4.851987738613815E-5</v>
          </cell>
          <cell r="K40">
            <v>8.3502967298436283E-5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2.375309397073381E-5</v>
          </cell>
          <cell r="J41">
            <v>1.2383868384221656E-5</v>
          </cell>
          <cell r="K41">
            <v>2.4351456896390762E-5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9.7911738401554648E-6</v>
          </cell>
          <cell r="J42">
            <v>5.5165488251106039E-6</v>
          </cell>
          <cell r="K42">
            <v>5.4886220513891717E-6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9.8014028000608431E-6</v>
          </cell>
          <cell r="J43">
            <v>5.5192522917863114E-6</v>
          </cell>
          <cell r="K43">
            <v>5.4921480293302937E-6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9.7921549805562548E-6</v>
          </cell>
          <cell r="J44">
            <v>5.5165818595458486E-6</v>
          </cell>
          <cell r="K44">
            <v>5.4904605590814896E-6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1.2226598896300385E-5</v>
          </cell>
          <cell r="J45">
            <v>7.1358007451072352E-6</v>
          </cell>
          <cell r="K45">
            <v>1.8505236826833521E-5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1.2772176855541682E-5</v>
          </cell>
          <cell r="J46">
            <v>7.258838010173421E-6</v>
          </cell>
          <cell r="K46">
            <v>1.8923757618769442E-5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7.6229387719928273E-6</v>
          </cell>
          <cell r="J47">
            <v>5.1463231383872771E-6</v>
          </cell>
          <cell r="K47">
            <v>5.2031692092063711E-6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0.20713742738849977</v>
          </cell>
          <cell r="K48">
            <v>0.24141164442244503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0.20922972463484812</v>
          </cell>
          <cell r="K49">
            <v>0.24385014588125778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2.0510525920005801E-7</v>
          </cell>
          <cell r="J50">
            <v>2.9110972937623499E-2</v>
          </cell>
          <cell r="K50">
            <v>2.8662297308622298E-6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2.7167998704757002E-7</v>
          </cell>
          <cell r="J51">
            <v>2.9111244617610499E-2</v>
          </cell>
          <cell r="K51">
            <v>2.9114110847341401E-2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0.30074801598554474</v>
          </cell>
          <cell r="J52">
            <v>0.26020667275191128</v>
          </cell>
          <cell r="K52">
            <v>0.82890686558452864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0.30074801598554451</v>
          </cell>
          <cell r="J53">
            <v>0.26020667275191089</v>
          </cell>
          <cell r="K53">
            <v>0.82890686558452786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0.33258665095057965</v>
          </cell>
          <cell r="J54">
            <v>0.28775340524380605</v>
          </cell>
          <cell r="K54">
            <v>0.91665892588145859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0.33258665095057965</v>
          </cell>
          <cell r="J55">
            <v>0.28775340524380605</v>
          </cell>
          <cell r="K55">
            <v>0.91665892588145859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8.7048251475401406E-2</v>
          </cell>
          <cell r="J56">
            <v>0.157932376061728</v>
          </cell>
          <cell r="K56">
            <v>0.25217450412851899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0.16635372613568319</v>
          </cell>
          <cell r="J57">
            <v>0.25272699985469343</v>
          </cell>
          <cell r="K57">
            <v>0.34665437895942719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2.5470914032010827</v>
          </cell>
          <cell r="K58">
            <v>8.5569469877835047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653.90740202814266</v>
          </cell>
          <cell r="K59">
            <v>2196.8002275230165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-653.907402028143</v>
          </cell>
          <cell r="K60">
            <v>-2196.8002275230201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706.19705690998603</v>
          </cell>
          <cell r="K61">
            <v>2325.9482235201899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7.6098820787713999</v>
          </cell>
          <cell r="K62">
            <v>25.064097236208948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0.100709237080133</v>
          </cell>
          <cell r="K63">
            <v>0.21851313508428599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0.100709237080133</v>
          </cell>
          <cell r="K64">
            <v>0.31922237216441901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0.13575969885317377</v>
          </cell>
          <cell r="J65">
            <v>0.14270729559948653</v>
          </cell>
          <cell r="K65">
            <v>0.15260018851626778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6.0079338473465036</v>
          </cell>
          <cell r="J66">
            <v>6.2748961449076823</v>
          </cell>
          <cell r="K66">
            <v>5.7821405683120561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2.1623937916344054</v>
          </cell>
          <cell r="J67">
            <v>2.3124924098019064</v>
          </cell>
          <cell r="K67">
            <v>2.2069362987444885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2.1002200478104109</v>
          </cell>
          <cell r="J68">
            <v>1.9071545897612241</v>
          </cell>
          <cell r="K68">
            <v>2.6936237820470086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0.27941292690371383</v>
          </cell>
          <cell r="J69">
            <v>0.30849886232908558</v>
          </cell>
          <cell r="K69">
            <v>0.33547422605124305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11.698704972136149</v>
          </cell>
          <cell r="J70">
            <v>11.939492629410633</v>
          </cell>
          <cell r="K70">
            <v>12.096338292637986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6.7593472474982401E-8</v>
          </cell>
          <cell r="J71"/>
          <cell r="K71"/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0.62767186877891401</v>
          </cell>
          <cell r="J72">
            <v>0.62767186877891401</v>
          </cell>
          <cell r="K72">
            <v>0.62767186877891401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2.1920805181344327E-4</v>
          </cell>
          <cell r="J73">
            <v>2.395692482834857E-4</v>
          </cell>
          <cell r="K73">
            <v>8.047365162215653E-7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2.1900675883657178E-4</v>
          </cell>
          <cell r="J74">
            <v>2.3956924828348665E-4</v>
          </cell>
          <cell r="K74">
            <v>8.0473651622156572E-7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2.6570593779426681E-4</v>
          </cell>
          <cell r="J75">
            <v>2.8184617445116406E-4</v>
          </cell>
          <cell r="K75"/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2.6570593779426681E-4</v>
          </cell>
          <cell r="J76">
            <v>2.8184617445116406E-4</v>
          </cell>
          <cell r="K76"/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1.8141276290285701E-4</v>
          </cell>
          <cell r="J77">
            <v>3.97102241034179E-6</v>
          </cell>
          <cell r="K77">
            <v>8.2752930678712498E-7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2.4775005997788895E-4</v>
          </cell>
          <cell r="J78">
            <v>1.8625763176909887E-4</v>
          </cell>
          <cell r="K78">
            <v>7.8831290341444129E-5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5.4911229949123025E-4</v>
          </cell>
          <cell r="J79">
            <v>6.4849530452854216E-4</v>
          </cell>
          <cell r="K79">
            <v>2.5386122906719157E-4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2.0769878146829549E-4</v>
          </cell>
          <cell r="J80">
            <v>2.5057628957650716E-4</v>
          </cell>
          <cell r="K80">
            <v>1.0213574279060869E-4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8.9194201841999259E-4</v>
          </cell>
          <cell r="J81">
            <v>1.0596500828057259E-3</v>
          </cell>
          <cell r="K81">
            <v>4.1870081573275379E-4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1.0525931586593E-5</v>
          </cell>
          <cell r="J82">
            <v>6.3317429740088203E-6</v>
          </cell>
          <cell r="K82">
            <v>3.8099974328247497E-8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1.8468024000263301E-5</v>
          </cell>
          <cell r="J83">
            <v>2.2282014949159601E-5</v>
          </cell>
          <cell r="K83">
            <v>9.0856708766663404E-6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7.624269233838792E-5</v>
          </cell>
          <cell r="J84">
            <v>2.5477775756180704E-4</v>
          </cell>
          <cell r="K84">
            <v>6.2873572181124671E-5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7.0676975797685599E-3</v>
          </cell>
          <cell r="J85">
            <v>2.3617898125979499E-2</v>
          </cell>
          <cell r="K85">
            <v>5.8283801411902498E-3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7.624269233838792E-5</v>
          </cell>
          <cell r="J86">
            <v>2.5477775756180704E-4</v>
          </cell>
          <cell r="K86">
            <v>6.2873572181124671E-5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1.2137070050016888E-4</v>
          </cell>
          <cell r="J87">
            <v>4.2063989858307817E-3</v>
          </cell>
          <cell r="K87">
            <v>1.5339407123966349E-3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1.2125924898455827E-4</v>
          </cell>
          <cell r="J88">
            <v>4.2063989858307929E-3</v>
          </cell>
          <cell r="K88">
            <v>1.533940712396636E-3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1.4711520892983612E-4</v>
          </cell>
          <cell r="J89">
            <v>4.9487046892128976E-3</v>
          </cell>
          <cell r="K89">
            <v>1.7043785693295558E-3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1.4711520892983612E-4</v>
          </cell>
          <cell r="J90">
            <v>4.9487046892128976E-3</v>
          </cell>
          <cell r="K90">
            <v>1.7043785693295558E-3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6.3163909480135397E-4</v>
          </cell>
          <cell r="J91">
            <v>3.5805334384452899E-3</v>
          </cell>
          <cell r="K91">
            <v>1.1883261600937499E-5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6.9888315202607768E-4</v>
          </cell>
          <cell r="J92">
            <v>4.2216348818558862E-3</v>
          </cell>
          <cell r="K92">
            <v>1.0088213907235599E-3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0.42606207763196174</v>
          </cell>
          <cell r="K93">
            <v>1.3704458758392501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729.42040532327258</v>
          </cell>
          <cell r="K94">
            <v>2096.0715884688016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-729.42040532327201</v>
          </cell>
          <cell r="K95">
            <v>-2096.0715884688002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3.9975996899791006</v>
          </cell>
          <cell r="K96">
            <v>12.142150459935754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819.573489127274</v>
          </cell>
          <cell r="K97">
            <v>2355.1366162570798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8.8316108742163077</v>
          </cell>
          <cell r="K98">
            <v>25.378627330356469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2.3278192585845601E-2</v>
          </cell>
          <cell r="K99">
            <v>5.1597039623557599E-2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2.3278192585845601E-2</v>
          </cell>
          <cell r="K100">
            <v>7.4875232209403106E-2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/>
          <cell r="K102">
            <v>0.71950050143683786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/>
          <cell r="K103">
            <v>2.1851244035974483E-2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/>
          <cell r="K105">
            <v>0.72186885098596232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/>
          <cell r="K106">
            <v>2.1851123628394573E-2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4.6571484824113602E-8</v>
          </cell>
          <cell r="J107">
            <v>6.92574544670095E-8</v>
          </cell>
          <cell r="K107">
            <v>1.05107417361007E-7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1.0275121480729943</v>
          </cell>
          <cell r="J108">
            <v>1.027512217330449</v>
          </cell>
          <cell r="K108">
            <v>0.72467700921164613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328.32846694621003</v>
          </cell>
          <cell r="J109">
            <v>278.08893471683899</v>
          </cell>
          <cell r="K109"/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5.4023567499885408</v>
          </cell>
          <cell r="J110">
            <v>4.7320652935472634</v>
          </cell>
          <cell r="K110">
            <v>1.021827719857179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4.4549317089037981</v>
          </cell>
          <cell r="J111">
            <v>3.7732555592515378</v>
          </cell>
          <cell r="K111"/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1.0391831622492687</v>
          </cell>
          <cell r="J112">
            <v>1.0391832275339628</v>
          </cell>
          <cell r="K112">
            <v>1.0391833449601293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3.1045173197840798E-7</v>
          </cell>
          <cell r="J116">
            <v>1.92918286445837E-7</v>
          </cell>
          <cell r="K116">
            <v>1.6840393317375099E-7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6.3419544694458975E-7</v>
          </cell>
          <cell r="J117">
            <v>5.0248811126713908E-7</v>
          </cell>
          <cell r="K117">
            <v>3.6568165187639099E-7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6.0159052412057408</v>
          </cell>
          <cell r="J118">
            <v>6.1778739877242748</v>
          </cell>
          <cell r="K118">
            <v>8.8365496691589538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6.0159052412057408</v>
          </cell>
          <cell r="J119">
            <v>6.1778739877242748</v>
          </cell>
          <cell r="K119">
            <v>8.8365496691589538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5.5844991560442796E-3</v>
          </cell>
          <cell r="J120">
            <v>5.5840712009944801E-3</v>
          </cell>
          <cell r="K120">
            <v>5.5828383649623803E-3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1.0752856106563111</v>
          </cell>
          <cell r="J121">
            <v>1.0752856961077608</v>
          </cell>
          <cell r="K121">
            <v>1.0856755815004864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1.2798569895741223</v>
          </cell>
          <cell r="J122">
            <v>0.86367806451723395</v>
          </cell>
          <cell r="K122">
            <v>8.6331223374581487E-6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12.34294637785387</v>
          </cell>
          <cell r="J123">
            <v>8.1036058927034542</v>
          </cell>
          <cell r="K123">
            <v>7.6575751740113725E-5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2535.9315050606301</v>
          </cell>
          <cell r="J124">
            <v>1711.3071475023501</v>
          </cell>
          <cell r="K124">
            <v>1.7125119932263198E-2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27.3268481148775</v>
          </cell>
          <cell r="J125">
            <v>18.440809779120197</v>
          </cell>
          <cell r="K125">
            <v>1.8453793030456082E-4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5.3966163237360899E-3</v>
          </cell>
          <cell r="J126"/>
          <cell r="K126"/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6.9925851720587892E-2</v>
          </cell>
          <cell r="J127">
            <v>4.7187736391609163E-2</v>
          </cell>
          <cell r="K127">
            <v>2.7486211681901351E-6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0.91741697711447701</v>
          </cell>
          <cell r="J128">
            <v>0.289700097829097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4.4821086094104243E-3</v>
          </cell>
          <cell r="J129">
            <v>1.4335936679049591E-3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1.015495283936599E-2</v>
          </cell>
          <cell r="J130">
            <v>3.2192980612602592E-3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1.6266258459476556E-2</v>
          </cell>
          <cell r="J131">
            <v>5.1365265572534975E-3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3.9842406747644596E-4</v>
          </cell>
          <cell r="J133">
            <v>1.2743360235173309E-4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1.4894261921707421E-3</v>
          </cell>
          <cell r="J134">
            <v>0.18689488746894445</v>
          </cell>
          <cell r="K134">
            <v>0.13514240835407978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3.9620204126709444E-3</v>
          </cell>
          <cell r="J135">
            <v>0.49715881395679867</v>
          </cell>
          <cell r="K135">
            <v>0.35949214456858491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5.5758615116859138E-3</v>
          </cell>
          <cell r="J136">
            <v>0.68257842724843887</v>
          </cell>
          <cell r="K136">
            <v>0.47446418405669577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9.4159793988561995E-5</v>
          </cell>
          <cell r="J137">
            <v>1.3762901790906199E-2</v>
          </cell>
          <cell r="K137">
            <v>1.16352261853536E-8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1.1053094937086101E-4</v>
          </cell>
          <cell r="J138">
            <v>1.38682428598941E-2</v>
          </cell>
          <cell r="K138">
            <v>1.0028032486055802E-2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17.3441991496626</v>
          </cell>
          <cell r="J139">
            <v>10.763931028280263</v>
          </cell>
          <cell r="K139">
            <v>10.354723610939548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17.3441991496626</v>
          </cell>
          <cell r="J140">
            <v>10.763931028280263</v>
          </cell>
          <cell r="K140">
            <v>10.354723610939548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9.6434571629854899E-8</v>
          </cell>
          <cell r="J141">
            <v>1.40723401824297E-7</v>
          </cell>
          <cell r="K141">
            <v>2.0709113106348301E-7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1.699999598844852</v>
          </cell>
          <cell r="J142">
            <v>1.1999999653133697</v>
          </cell>
          <cell r="K142">
            <v>1.199999972594842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9.18568900345995E-2</v>
          </cell>
          <cell r="K143">
            <v>351.92670836106396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-9.1856890034599598E-2</v>
          </cell>
          <cell r="K144">
            <v>-351.92670836106402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3.6599916095814313E-4</v>
          </cell>
          <cell r="K145">
            <v>0.9897541862385133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7.2259890953056287E-5</v>
          </cell>
          <cell r="K146">
            <v>0.29176946738284598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0.12022719016737</v>
          </cell>
          <cell r="K147">
            <v>485.45081894544302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1.2955516181828615E-3</v>
          </cell>
          <cell r="K148">
            <v>5.2311510662224379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8.8123089400115393E-6</v>
          </cell>
          <cell r="K149">
            <v>2.9322688694175401E-2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8.8123089400115393E-6</v>
          </cell>
          <cell r="K150">
            <v>2.93315010031154E-2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3.4753814754216608E-3</v>
          </cell>
          <cell r="J151">
            <v>3.9335170762164534E-3</v>
          </cell>
          <cell r="K151">
            <v>4.0653548121742343E-3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3.4753814754216608E-3</v>
          </cell>
          <cell r="J152">
            <v>3.9335170762164534E-3</v>
          </cell>
          <cell r="K152">
            <v>4.0653548121742343E-3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1.67811257102788E-4</v>
          </cell>
          <cell r="J153"/>
          <cell r="K153"/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3.0751868518762301E-4</v>
          </cell>
          <cell r="J154">
            <v>3.0751868518762301E-4</v>
          </cell>
          <cell r="K154">
            <v>3.0751868518762301E-4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0.15482491591663455</v>
          </cell>
          <cell r="J155">
            <v>0.14876940863279395</v>
          </cell>
          <cell r="K155">
            <v>0.14227612382384974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7.7412457958317233</v>
          </cell>
          <cell r="J156">
            <v>7.4384704316396908</v>
          </cell>
          <cell r="K156">
            <v>7.1138061911924915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13.310519199804363</v>
          </cell>
          <cell r="J157">
            <v>12.789918587887902</v>
          </cell>
          <cell r="K157">
            <v>12.231681616741824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0.14829520102683</v>
          </cell>
          <cell r="J158">
            <v>1.3824536042163601E-2</v>
          </cell>
          <cell r="K158">
            <v>0.107585891204994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0.29244707956126909</v>
          </cell>
          <cell r="J159">
            <v>0.28100888947021396</v>
          </cell>
          <cell r="K159">
            <v>0.26874379320803488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0.11231744400757231</v>
          </cell>
          <cell r="K160">
            <v>38.014082957337585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-0.112317444007572</v>
          </cell>
          <cell r="K161">
            <v>-38.0140829573376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7.2497513464127295E-4</v>
          </cell>
          <cell r="K162">
            <v>0.24536940947839206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8.2111270757630759E-4</v>
          </cell>
          <cell r="K163">
            <v>0.27119776837085491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0.130861288949842</v>
          </cell>
          <cell r="K164">
            <v>42.808393104980901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2.3202356196780423E-3</v>
          </cell>
          <cell r="K165">
            <v>0.75901406214505196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8.76244745239817E-5</v>
          </cell>
          <cell r="K166">
            <v>1.14364613842084E-2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8.76244745239817E-5</v>
          </cell>
          <cell r="K167">
            <v>1.1524075090162228E-2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18.815542526532376</v>
          </cell>
          <cell r="J168">
            <v>31.805399099842173</v>
          </cell>
          <cell r="K168">
            <v>35.132947950287758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18.815542526532376</v>
          </cell>
          <cell r="J169">
            <v>31.805399099842173</v>
          </cell>
          <cell r="K169">
            <v>35.132947950287758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18.815542526532401</v>
          </cell>
          <cell r="J170">
            <v>31.805399099842202</v>
          </cell>
          <cell r="K170">
            <v>35.1329479502878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0.73007729881886396</v>
          </cell>
          <cell r="J171">
            <v>4.1520471095155704</v>
          </cell>
          <cell r="K171">
            <v>4.8569227779632396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5.4239721999287287</v>
          </cell>
          <cell r="J172">
            <v>9.1685690212070288</v>
          </cell>
          <cell r="K172">
            <v>10.127804303068199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8.024530503341083</v>
          </cell>
          <cell r="J173">
            <v>8.5539650419389126</v>
          </cell>
          <cell r="K173">
            <v>7.9424423166963543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8.7065083082351151</v>
          </cell>
          <cell r="J174">
            <v>9.274854236785206</v>
          </cell>
          <cell r="K174">
            <v>8.6005202281078077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J175"/>
          <cell r="K175"/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0.84970025639102498</v>
          </cell>
          <cell r="J176">
            <v>0.84970025639102498</v>
          </cell>
          <cell r="K176">
            <v>0.84970025639102498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1.4703767808290332E-3</v>
          </cell>
          <cell r="J177">
            <v>1.5273351717025822E-3</v>
          </cell>
          <cell r="K177">
            <v>1.5879928346380716E-3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1.4703767808290332E-3</v>
          </cell>
          <cell r="J178">
            <v>1.5273351717025822E-3</v>
          </cell>
          <cell r="K178">
            <v>1.5879928346380716E-3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J179">
            <v>1.42840673967154E-8</v>
          </cell>
          <cell r="K179">
            <v>2.8643788716363401E-8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9.9477088994906899E-5</v>
          </cell>
          <cell r="J180">
            <v>9.9491373062303597E-5</v>
          </cell>
          <cell r="K180">
            <v>9.9520016851020006E-5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5.8673390289525666E-2</v>
          </cell>
          <cell r="J181">
            <v>6.5080669012202524E-2</v>
          </cell>
          <cell r="K181">
            <v>6.0398622360659938E-2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5.8673390289525666E-2</v>
          </cell>
          <cell r="J182">
            <v>6.5080669012202524E-2</v>
          </cell>
          <cell r="K182">
            <v>6.0398622360659938E-2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/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5.02078727755856E-3</v>
          </cell>
          <cell r="J184">
            <v>5.02078727755856E-3</v>
          </cell>
          <cell r="K184">
            <v>5.02078727755856E-3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5.3531079398543993</v>
          </cell>
          <cell r="J185">
            <v>3.7462470586995309</v>
          </cell>
          <cell r="K185">
            <v>3.0824672312213202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2.5305601170220724</v>
          </cell>
          <cell r="J186">
            <v>1.7709531550215949</v>
          </cell>
          <cell r="K186">
            <v>1.4571663134794977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7.318617636957562</v>
          </cell>
          <cell r="J187">
            <v>5.0228196800992109</v>
          </cell>
          <cell r="K187">
            <v>3.9658370817931368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1.8809986560519E-2</v>
          </cell>
          <cell r="J188">
            <v>1.8307309787991801E-2</v>
          </cell>
          <cell r="K188">
            <v>5.6942881985975198E-2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9.7773364329305043E-2</v>
          </cell>
          <cell r="J189">
            <v>7.2828304385899587E-2</v>
          </cell>
          <cell r="K189">
            <v>7.8185624813511045E-2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1.4238173699070955E-2</v>
          </cell>
          <cell r="J190">
            <v>6.7989559187764531E-2</v>
          </cell>
          <cell r="K190">
            <v>0.35758495137757512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1.4238173699070955E-2</v>
          </cell>
          <cell r="J191">
            <v>6.7989559187764531E-2</v>
          </cell>
          <cell r="K191">
            <v>0.35758495137757512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4.7800741478764303E-8</v>
          </cell>
          <cell r="J192">
            <v>2.4409096173084999E-2</v>
          </cell>
          <cell r="K192">
            <v>1.42272178948815E-7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1.0122405858944601E-3</v>
          </cell>
          <cell r="J193">
            <v>4.8335231877856804E-3</v>
          </cell>
          <cell r="K193">
            <v>2.5421466651529102E-2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1.5926959620236826E-3</v>
          </cell>
          <cell r="J194">
            <v>3.546401471621473E-3</v>
          </cell>
          <cell r="K194">
            <v>6.2036543886718632E-3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1.5944675926822176E-3</v>
          </cell>
          <cell r="J195">
            <v>3.5464014716214678E-3</v>
          </cell>
          <cell r="K195">
            <v>6.2036543886718615E-3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1.7713946366727708E-3</v>
          </cell>
          <cell r="J196">
            <v>3.8133071010756857E-3</v>
          </cell>
          <cell r="K196">
            <v>6.266326421793999E-3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1.7713946366727708E-3</v>
          </cell>
          <cell r="J197">
            <v>3.8133071010756857E-3</v>
          </cell>
          <cell r="K197">
            <v>6.266326421793999E-3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1.97521339294828E-4</v>
          </cell>
          <cell r="J198">
            <v>2.40204334391832E-5</v>
          </cell>
          <cell r="K198">
            <v>2.8582321024867903E-4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2.3894352024466788E-4</v>
          </cell>
          <cell r="J199">
            <v>2.2394192922610135E-4</v>
          </cell>
          <cell r="K199">
            <v>3.857567232788125E-4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2.5481971905561793E-4</v>
          </cell>
          <cell r="J200">
            <v>9.1264756051402966E-4</v>
          </cell>
          <cell r="K200">
            <v>1.0085131560499708E-3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2.5481971905561793E-4</v>
          </cell>
          <cell r="J201">
            <v>9.1264756051402966E-4</v>
          </cell>
          <cell r="K201">
            <v>1.0085131560499708E-3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2.5481971905561799E-4</v>
          </cell>
          <cell r="J202">
            <v>9.1264756051402901E-4</v>
          </cell>
          <cell r="K202">
            <v>1.00851315604997E-3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5.6717669491314798E-6</v>
          </cell>
          <cell r="J203">
            <v>1.89844655513573E-4</v>
          </cell>
          <cell r="K203">
            <v>9.63597054751322E-5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7.3481400770489898E-5</v>
          </cell>
          <cell r="J204">
            <v>2.6311289222788801E-4</v>
          </cell>
          <cell r="K204">
            <v>2.9073675229088002E-4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-5.7694479727553316E-9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12.886687483489082</v>
          </cell>
          <cell r="J211">
            <v>13.232281212669115</v>
          </cell>
          <cell r="K211">
            <v>13.588202504268619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12.886687483489082</v>
          </cell>
          <cell r="J212">
            <v>13.232281212669115</v>
          </cell>
          <cell r="K212">
            <v>13.588202504268619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16.108359351225314</v>
          </cell>
          <cell r="J213">
            <v>16.540351513062294</v>
          </cell>
          <cell r="K213">
            <v>16.985253127332456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16.108359351225314</v>
          </cell>
          <cell r="J214">
            <v>16.540351513062294</v>
          </cell>
          <cell r="K214">
            <v>16.985253127332456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1.4473176179076433E-4</v>
          </cell>
          <cell r="J216">
            <v>2.4095301496276835E-4</v>
          </cell>
          <cell r="K216">
            <v>8.0558652937735594E-7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1.4459885842823855E-4</v>
          </cell>
          <cell r="J217">
            <v>2.4095301496276916E-4</v>
          </cell>
          <cell r="K217">
            <v>8.0558652937735647E-7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1.7543164685786828E-4</v>
          </cell>
          <cell r="J218">
            <v>2.8347413525025721E-4</v>
          </cell>
          <cell r="K218"/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1.7543164685786828E-4</v>
          </cell>
          <cell r="J219">
            <v>2.8347413525025721E-4</v>
          </cell>
          <cell r="K219"/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2.0116700661971E-4</v>
          </cell>
          <cell r="J220">
            <v>5.3051926948963502E-6</v>
          </cell>
          <cell r="K220">
            <v>7.4351757552305901E-7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2.5592575685674714E-4</v>
          </cell>
          <cell r="J221">
            <v>2.0727532770340495E-4</v>
          </cell>
          <cell r="K221">
            <v>8.7559524027151485E-5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1.1188010659374507E-4</v>
          </cell>
          <cell r="J222">
            <v>3.4821270846194919E-4</v>
          </cell>
          <cell r="K222">
            <v>2.24697637101287E-4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5.3117390057122099E-5</v>
          </cell>
          <cell r="J223">
            <v>1.5653598820766524E-4</v>
          </cell>
          <cell r="K223">
            <v>9.0667467602273814E-5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1.18498366420417E-2</v>
          </cell>
          <cell r="J224">
            <v>3.6035223407805399E-2</v>
          </cell>
          <cell r="K224">
            <v>2.2233239881600999E-2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2.1010348656102344E-4</v>
          </cell>
          <cell r="J225">
            <v>6.3892240084761258E-4</v>
          </cell>
          <cell r="K225">
            <v>3.9420638087945062E-4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1.0976977804255101E-5</v>
          </cell>
          <cell r="J226">
            <v>5.1667503654534096E-6</v>
          </cell>
          <cell r="K226">
            <v>5.1923489493278897E-6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2.0303415815001801E-5</v>
          </cell>
          <cell r="J227">
            <v>2.2505291615454368E-5</v>
          </cell>
          <cell r="K227">
            <v>1.3580189472121266E-5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8.1566078437598624E-2</v>
          </cell>
          <cell r="J228">
            <v>0.13280878512466091</v>
          </cell>
          <cell r="K228">
            <v>0.27756586373057385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8.1475449461556881E-2</v>
          </cell>
          <cell r="J229">
            <v>0.13280878512466099</v>
          </cell>
          <cell r="K229">
            <v>0.27756586373057385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9.0628976041773585E-2</v>
          </cell>
          <cell r="J230">
            <v>0.14280514529935287</v>
          </cell>
          <cell r="K230">
            <v>0.2803695584863648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9.0628976041773585E-2</v>
          </cell>
          <cell r="J231">
            <v>0.14280514529935287</v>
          </cell>
          <cell r="K231">
            <v>0.2803695584863648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2.3946435171765399E-2</v>
          </cell>
          <cell r="J232">
            <v>9.9105841300054301E-3</v>
          </cell>
          <cell r="K232">
            <v>3.9477557406478098E-2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2.4012701260396369E-2</v>
          </cell>
          <cell r="J233">
            <v>3.3857572699833555E-2</v>
          </cell>
          <cell r="K233">
            <v>5.6798162604906111E-2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12.5612386595303</v>
          </cell>
          <cell r="J234">
            <v>98.649927062563194</v>
          </cell>
          <cell r="K234">
            <v>2.5627079536286499E-4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0.16759092720632685</v>
          </cell>
          <cell r="J235">
            <v>1.3161785388662945</v>
          </cell>
          <cell r="K235">
            <v>3.4191421224354949E-6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0.17043743092985544</v>
          </cell>
          <cell r="J236">
            <v>1.338533610075483</v>
          </cell>
          <cell r="K236">
            <v>3.4772156765653323E-6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70.716213288951778</v>
          </cell>
          <cell r="J237">
            <v>70.433778780084495</v>
          </cell>
          <cell r="K237">
            <v>71.396295847086876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70.716213288951778</v>
          </cell>
          <cell r="J238">
            <v>70.433778780084495</v>
          </cell>
          <cell r="K238">
            <v>71.396295847086876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8.9783074806669557E-5</v>
          </cell>
          <cell r="J240">
            <v>1.1319796915523943E-4</v>
          </cell>
          <cell r="K240">
            <v>1.0084844400742693E-4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8.9865596015131503E-5</v>
          </cell>
          <cell r="J241">
            <v>1.1319796915523903E-4</v>
          </cell>
          <cell r="K241">
            <v>1.0084844400742681E-4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1.0892720349347478E-4</v>
          </cell>
          <cell r="J242">
            <v>1.3317408135921519E-4</v>
          </cell>
          <cell r="K242">
            <v>1.1205382667489067E-4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1.0892720349347478E-4</v>
          </cell>
          <cell r="J243">
            <v>1.3317408135921519E-4</v>
          </cell>
          <cell r="K243">
            <v>1.1205382667489067E-4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1.87006852030347E-4</v>
          </cell>
          <cell r="J244">
            <v>1.1492295919667599E-5</v>
          </cell>
          <cell r="K244">
            <v>2.2858117620139299E-5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2.2999015606207235E-4</v>
          </cell>
          <cell r="J245">
            <v>1.9999850861947651E-4</v>
          </cell>
          <cell r="K245">
            <v>1.0924398298806249E-4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0.49003756667869131</v>
          </cell>
          <cell r="J246">
            <v>0.49003809753826344</v>
          </cell>
          <cell r="K246">
            <v>10.799999739981921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0.49003756667869131</v>
          </cell>
          <cell r="J247">
            <v>0.49003809753826344</v>
          </cell>
          <cell r="K247">
            <v>10.799999739981921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0.49003756667869097</v>
          </cell>
          <cell r="J248">
            <v>0.490038097538263</v>
          </cell>
          <cell r="K248">
            <v>10.799999739981899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1.0305131541887101E-7</v>
          </cell>
          <cell r="J249">
            <v>6.1045898067448297E-8</v>
          </cell>
          <cell r="K249">
            <v>2.78838624325748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7.5741179883866694E-2</v>
          </cell>
          <cell r="J250">
            <v>7.5741274239268394E-2</v>
          </cell>
          <cell r="K250">
            <v>1.66926919494588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2.0770241582665708E-4</v>
          </cell>
          <cell r="J251">
            <v>1.1963229266425355E-4</v>
          </cell>
          <cell r="K251">
            <v>8.1509843577237789E-5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56.033799100039843</v>
          </cell>
          <cell r="J252">
            <v>47.226298757586868</v>
          </cell>
          <cell r="K252">
            <v>49.043062320528541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1.4905081939403653E-4</v>
          </cell>
          <cell r="J253">
            <v>8.5093363817656265E-5</v>
          </cell>
          <cell r="K253">
            <v>6.5846690515876838E-5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56.033683280756215</v>
          </cell>
          <cell r="J254">
            <v>21.450141899482773</v>
          </cell>
          <cell r="K254">
            <v>22.131908848576433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4.7241192921546597E-4</v>
          </cell>
          <cell r="J255">
            <v>25.776361583760615</v>
          </cell>
          <cell r="K255">
            <v>26.911300663925065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3.7267650458797997E-8</v>
          </cell>
          <cell r="J256">
            <v>5.1845211773018603E-8</v>
          </cell>
          <cell r="K256">
            <v>1.0743331764402799E-7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4.4927375055692558</v>
          </cell>
          <cell r="J257">
            <v>4.4927375588250893</v>
          </cell>
          <cell r="K257">
            <v>4.4927376652041877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6.8356697534798512</v>
          </cell>
          <cell r="J258">
            <v>7.0940681693939727</v>
          </cell>
          <cell r="K258">
            <v>8.1180568046149038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6.8356697534798512</v>
          </cell>
          <cell r="J259">
            <v>7.0940681693939727</v>
          </cell>
          <cell r="K259">
            <v>8.1180568046149038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0.24137905149069999</v>
          </cell>
          <cell r="J260">
            <v>0.226211907524036</v>
          </cell>
          <cell r="K260">
            <v>0.20854198858612299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0.24139790470761699</v>
          </cell>
          <cell r="J261">
            <v>0.26896542935900197</v>
          </cell>
          <cell r="K261">
            <v>0.286024373179672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1.0948077210381962E-5</v>
          </cell>
          <cell r="J262">
            <v>1.5112482926487349</v>
          </cell>
          <cell r="K262">
            <v>1.5112484522133471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1.0948077210381962E-5</v>
          </cell>
          <cell r="J263">
            <v>1.5112482926487349</v>
          </cell>
          <cell r="K263">
            <v>1.5112484522133471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1.0948077210382E-5</v>
          </cell>
          <cell r="J264">
            <v>1.5112482926487401</v>
          </cell>
          <cell r="K264">
            <v>1.51124845221335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3.1411751505138199E-6</v>
          </cell>
          <cell r="J265">
            <v>0.43564562583995498</v>
          </cell>
          <cell r="K265">
            <v>5.33562293464074E-8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3.1832002931672301E-6</v>
          </cell>
          <cell r="J266">
            <v>0.435648809040248</v>
          </cell>
          <cell r="K266">
            <v>0.43564886239647699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7.4918602349670511</v>
          </cell>
          <cell r="J267">
            <v>5.163254998501591</v>
          </cell>
          <cell r="K267">
            <v>9.6431785060021886E-5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1944.9744157765399</v>
          </cell>
          <cell r="J268">
            <v>1340.441300192</v>
          </cell>
          <cell r="K268">
            <v>2.5034817645691199E-2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20.958776032074827</v>
          </cell>
          <cell r="J269">
            <v>14.444410562413781</v>
          </cell>
          <cell r="K269">
            <v>2.6977174187167263E-4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8.9330704267916394E-2</v>
          </cell>
          <cell r="J270"/>
          <cell r="K270"/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0.27948864867734735</v>
          </cell>
          <cell r="J271">
            <v>0.20507633142018949</v>
          </cell>
          <cell r="K271">
            <v>5.94616650467783E-6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9.264026300046396</v>
          </cell>
          <cell r="J272">
            <v>10.679653305050559</v>
          </cell>
          <cell r="K272">
            <v>11.094281267048547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9.264026300046396</v>
          </cell>
          <cell r="J273">
            <v>10.679653305050559</v>
          </cell>
          <cell r="K273">
            <v>11.094281267048547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5.641858466458709</v>
          </cell>
          <cell r="J274">
            <v>6.0051623774680278</v>
          </cell>
          <cell r="K274">
            <v>7.099173665611505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5.641858466458709</v>
          </cell>
          <cell r="J275">
            <v>6.0051623774680278</v>
          </cell>
          <cell r="K275">
            <v>7.099173665611505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2.6664450282257484</v>
          </cell>
          <cell r="J276">
            <v>2.0632451702336128</v>
          </cell>
          <cell r="K276">
            <v>1.8846319808946879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3.8092071831796401</v>
          </cell>
          <cell r="J277">
            <v>2.9474931003337317</v>
          </cell>
          <cell r="K277">
            <v>2.6923314012781252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0.16801340369296899</v>
          </cell>
          <cell r="J278">
            <v>3.4131185219215897E-2</v>
          </cell>
          <cell r="K278">
            <v>0.13579000159413801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0.33820990793231698</v>
          </cell>
          <cell r="J279">
            <v>0.26170052348780898</v>
          </cell>
          <cell r="K279">
            <v>0.30380442367789501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/>
          <cell r="K280">
            <v>0.21319255362123887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/>
          <cell r="K281">
            <v>19.2724037475827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/>
          <cell r="K282">
            <v>0.34170928630465758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2.8551194158650801E-8</v>
          </cell>
          <cell r="K283">
            <v>1.2639779164847868E-2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5.9297707579395697E-8</v>
          </cell>
          <cell r="K284">
            <v>1.7081550724707802E-2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2.8551194158650801E-8</v>
          </cell>
          <cell r="K285">
            <v>1.2639779164847788E-2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781.00899216209905</v>
          </cell>
          <cell r="J286">
            <v>656.210957732618</v>
          </cell>
          <cell r="K286">
            <v>607.69145886259003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13.803620067683539</v>
          </cell>
          <cell r="J287">
            <v>11.749595896130208</v>
          </cell>
          <cell r="K287">
            <v>10.740298171677384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3.6479407490126834E-4</v>
          </cell>
          <cell r="J288">
            <v>1.2361710782189976E-2</v>
          </cell>
          <cell r="K288">
            <v>2.6589072566006913E-2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13.847677165994652</v>
          </cell>
          <cell r="J289">
            <v>11.634946059088973</v>
          </cell>
          <cell r="K289">
            <v>10.774671256428896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4.1677916405312387E-5</v>
          </cell>
          <cell r="J290">
            <v>0.15222724415102939</v>
          </cell>
          <cell r="K290">
            <v>2.6006700234136332E-5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3.6478633409505281E-4</v>
          </cell>
          <cell r="J291">
            <v>1.2361696615804246E-2</v>
          </cell>
          <cell r="K291">
            <v>2.6589014881727987E-2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1.95764288232096E-8</v>
          </cell>
          <cell r="J292">
            <v>2.5630125336201801E-8</v>
          </cell>
          <cell r="K292">
            <v>4.3417705729407997E-8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2.235052268404337</v>
          </cell>
          <cell r="J293">
            <v>2.2350522940344622</v>
          </cell>
          <cell r="K293">
            <v>1.1208906383158879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1.0835241656677796E-4</v>
          </cell>
          <cell r="J294">
            <v>1.1302224670747215E-4</v>
          </cell>
          <cell r="K294">
            <v>4.9887908711812962E-5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2.864612117404121E-4</v>
          </cell>
          <cell r="J295">
            <v>2.9250331873352883E-4</v>
          </cell>
          <cell r="K295">
            <v>1.2400697546918426E-4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4.9291355483120029E-4</v>
          </cell>
          <cell r="J296">
            <v>5.167152457114211E-4</v>
          </cell>
          <cell r="K296">
            <v>2.2068574180388165E-4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4.9363047425401598E-6</v>
          </cell>
          <cell r="J297">
            <v>1.9062730655017801E-6</v>
          </cell>
          <cell r="K297">
            <v>9.6678866852994508E-7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9.6348054764645201E-6</v>
          </cell>
          <cell r="J298">
            <v>1.00515894852199E-5</v>
          </cell>
          <cell r="K298">
            <v>4.4382654413214302E-6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12.542952561519044</v>
          </cell>
          <cell r="J299">
            <v>12.431777828315449</v>
          </cell>
          <cell r="K299">
            <v>11.221216786328231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1.3171306151211139E-4</v>
          </cell>
          <cell r="J300">
            <v>9.0079352532558934E-5</v>
          </cell>
          <cell r="K300">
            <v>5.7360650192295545E-5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17.979547690225186</v>
          </cell>
          <cell r="J301">
            <v>18.052040178374938</v>
          </cell>
          <cell r="K301">
            <v>15.714300266399972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14.331722517570682</v>
          </cell>
          <cell r="J302">
            <v>14.047036628407664</v>
          </cell>
          <cell r="K302">
            <v>13.016919411202059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17.133370836107837</v>
          </cell>
          <cell r="J303">
            <v>17.652757635345779</v>
          </cell>
          <cell r="K303">
            <v>16.176171860543779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61.987725318484237</v>
          </cell>
          <cell r="J304">
            <v>62.183702074293038</v>
          </cell>
          <cell r="K304">
            <v>56.128665462018247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/>
          <cell r="J305"/>
          <cell r="K305">
            <v>1.5576136404282599E-8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4.3300925142827298</v>
          </cell>
          <cell r="J306">
            <v>4.3300925142827298</v>
          </cell>
          <cell r="K306">
            <v>4.3300925258085101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30.937602377803898</v>
          </cell>
          <cell r="J307">
            <v>37.613551760693497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0.19720178170943758</v>
          </cell>
          <cell r="J308">
            <v>0.24005534025199879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0.27929554435850062</v>
          </cell>
          <cell r="J309">
            <v>0.36008301037799811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0.54853904925184138</v>
          </cell>
          <cell r="J310">
            <v>0.6669069461115873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2.7171303736152421E-2</v>
          </cell>
          <cell r="J312">
            <v>1.4088539686170356E-2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4.1712318979614746</v>
          </cell>
          <cell r="J313">
            <v>4.1595806415955767</v>
          </cell>
          <cell r="K313">
            <v>4.1364722827794695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4.1712318979614746</v>
          </cell>
          <cell r="J314">
            <v>4.1595806415955767</v>
          </cell>
          <cell r="K314">
            <v>4.1364722827794695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9.7832612771472921E-5</v>
          </cell>
          <cell r="J315">
            <v>1.8759265390634554E-4</v>
          </cell>
          <cell r="K315">
            <v>0.16908907886008537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9.7922532452328879E-5</v>
          </cell>
          <cell r="J316">
            <v>1.8759265390634481E-4</v>
          </cell>
          <cell r="K316">
            <v>0.16908907886008526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1.1869397873010857E-4</v>
          </cell>
          <cell r="J317">
            <v>2.2069723988981985E-4</v>
          </cell>
          <cell r="K317">
            <v>0.1878767542890287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1.1869397873010857E-4</v>
          </cell>
          <cell r="J318">
            <v>2.2069723988981985E-4</v>
          </cell>
          <cell r="K318">
            <v>0.1878767542890287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8.1892658300471404E-6</v>
          </cell>
          <cell r="J319">
            <v>7.7438217466698593E-6</v>
          </cell>
          <cell r="K319">
            <v>4.5419485305289498E-2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1.9140238331507758E-5</v>
          </cell>
          <cell r="J320">
            <v>1.9044141856542185E-5</v>
          </cell>
          <cell r="K320">
            <v>4.5433623264136788E-2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0.84999848398276812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0.17143998060500809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47.987879268742802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0.6511245491009866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1.0763572213849134E-2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22.558640471350415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68.007968951796641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0.76677393276449402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1373.00770566914</v>
          </cell>
          <cell r="J330">
            <v>782.86829294067695</v>
          </cell>
          <cell r="K330">
            <v>446.38523454659298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24.266625195287261</v>
          </cell>
          <cell r="J331">
            <v>14.036449213564168</v>
          </cell>
          <cell r="K331">
            <v>7.8893790813804809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5.3466619942710812E-4</v>
          </cell>
          <cell r="J332">
            <v>2.3534281848682444E-2</v>
          </cell>
          <cell r="K332">
            <v>2.3040152184327672E-2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24.344108256545102</v>
          </cell>
          <cell r="J333">
            <v>13.880643491855979</v>
          </cell>
          <cell r="K333">
            <v>7.9146318182020057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4.1719154362820538E-5</v>
          </cell>
          <cell r="J334">
            <v>0.20072447879434241</v>
          </cell>
          <cell r="K334">
            <v>2.5969082512953455E-5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5.3465833077511913E-4</v>
          </cell>
          <cell r="J335">
            <v>2.3534252947909892E-2</v>
          </cell>
          <cell r="K335">
            <v>2.3040108844311433E-2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1.1485454715668501E-8</v>
          </cell>
          <cell r="J336">
            <v>1.5299493627341299E-8</v>
          </cell>
          <cell r="K336">
            <v>2.5732121714556499E-8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3.0972400188813749</v>
          </cell>
          <cell r="J337">
            <v>3.0972400341808686</v>
          </cell>
          <cell r="K337">
            <v>1.5532823005532901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1.4786459819484744E-3</v>
          </cell>
          <cell r="J338">
            <v>4.4463256127398243E-3</v>
          </cell>
          <cell r="K338">
            <v>1.1407681931911606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2.1946919372248714E-3</v>
          </cell>
          <cell r="J339">
            <v>7.4105426878997181E-3</v>
          </cell>
          <cell r="K339">
            <v>2.2815363863823208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4.2003673439710452E-3</v>
          </cell>
          <cell r="J340">
            <v>1.3473713977999473E-2</v>
          </cell>
          <cell r="K340">
            <v>3.8025606439705415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2.5278051881217999E-6</v>
          </cell>
          <cell r="J341">
            <v>7.8164276884456097E-4</v>
          </cell>
          <cell r="K341">
            <v>8.5274755486341794E-2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1.7084575953731101E-4</v>
          </cell>
          <cell r="J342">
            <v>8.9911646542139775E-4</v>
          </cell>
          <cell r="K342">
            <v>8.5843081730547791E-2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35.62395413056641</v>
          </cell>
          <cell r="J343">
            <v>38.926707503836525</v>
          </cell>
          <cell r="K343">
            <v>37.239105193532737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35.564614003635583</v>
          </cell>
          <cell r="J344">
            <v>20.322031123326415</v>
          </cell>
          <cell r="K344">
            <v>17.087564091969135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5.9340126930807806E-2</v>
          </cell>
          <cell r="J345">
            <v>18.604676380510096</v>
          </cell>
          <cell r="K345">
            <v>20.151541101563609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0.30508038416281102</v>
          </cell>
          <cell r="J346">
            <v>1.89488631565749E-7</v>
          </cell>
          <cell r="K346">
            <v>1.9741323327223101E-7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1.1463553384434539</v>
          </cell>
          <cell r="J347">
            <v>1.3779670037466261</v>
          </cell>
          <cell r="K347">
            <v>1.37796724807725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10.472512128923656</v>
          </cell>
          <cell r="J348">
            <v>13.364161557706371</v>
          </cell>
          <cell r="K348">
            <v>99.58454341190054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10.484161196920219</v>
          </cell>
          <cell r="J349">
            <v>13.36416155770636</v>
          </cell>
          <cell r="K349">
            <v>99.58454341190054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11.649067882623383</v>
          </cell>
          <cell r="J350">
            <v>14.370066120105816</v>
          </cell>
          <cell r="K350">
            <v>100.59044790328174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11.649067882623383</v>
          </cell>
          <cell r="J351">
            <v>14.370066120105816</v>
          </cell>
          <cell r="K351">
            <v>100.59044790328174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0.100225778567997</v>
          </cell>
          <cell r="J352">
            <v>0.60178350453729701</v>
          </cell>
          <cell r="K352">
            <v>5.7088940219235802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0.65540305608153071</v>
          </cell>
          <cell r="J353">
            <v>0.83387975234310419</v>
          </cell>
          <cell r="K353">
            <v>6.1880224003319375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2.9677493166191051E-3</v>
          </cell>
          <cell r="J354">
            <v>0.16222739804394012</v>
          </cell>
          <cell r="K354">
            <v>1.5973909060329108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2.9710504838233467E-3</v>
          </cell>
          <cell r="J355">
            <v>0.16222739804393999</v>
          </cell>
          <cell r="K355">
            <v>1.5973909060329106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3.3010450901540217E-3</v>
          </cell>
          <cell r="J356">
            <v>0.17443805869806478</v>
          </cell>
          <cell r="K356">
            <v>1.6135261729215296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3.3010450901540217E-3</v>
          </cell>
          <cell r="J357">
            <v>0.17443805869806478</v>
          </cell>
          <cell r="K357">
            <v>1.6135261729215296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2.0723721757452999E-4</v>
          </cell>
          <cell r="J358">
            <v>9.9134289783219098E-3</v>
          </cell>
          <cell r="K358">
            <v>9.1978343727936507E-2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2.4819479482845363E-4</v>
          </cell>
          <cell r="J359">
            <v>1.0123003271069636E-2</v>
          </cell>
          <cell r="K359">
            <v>9.9259462051543124E-2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8.2206748295773902E-3</v>
          </cell>
          <cell r="J360">
            <v>2.9885715028613501E-2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1.0497896077385347E-4</v>
          </cell>
          <cell r="J361">
            <v>3.8164400985663037E-4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1.0676201077373232E-4</v>
          </cell>
          <cell r="J362">
            <v>3.8812616920277308E-4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16.9792699069198</v>
          </cell>
          <cell r="J363">
            <v>8.7431145367390801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9.0765825257178814E-2</v>
          </cell>
          <cell r="J364">
            <v>4.7063187527476444E-2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0.18530116019716952</v>
          </cell>
          <cell r="J365">
            <v>9.4897902719337776E-2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0.30105088487446385</v>
          </cell>
          <cell r="J366">
            <v>0.15501976128969996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6.7351319870844802E-3</v>
          </cell>
          <cell r="J368">
            <v>3.4922399951821501E-3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1.1171329158377071E-4</v>
          </cell>
          <cell r="J369">
            <v>2.9097937880744187E-4</v>
          </cell>
          <cell r="K369">
            <v>7.5724067705338456E-5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1.1171329158377071E-4</v>
          </cell>
          <cell r="J370">
            <v>2.9097937880744187E-4</v>
          </cell>
          <cell r="K370">
            <v>7.5724067705338456E-5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1.1381800181443599E-7</v>
          </cell>
          <cell r="J371">
            <v>1.6709054557664199E-7</v>
          </cell>
          <cell r="K371">
            <v>2.5504081983867002E-7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1.4886554421966736E-4</v>
          </cell>
          <cell r="J372">
            <v>1.489447743567851E-4</v>
          </cell>
          <cell r="K372">
            <v>7.4989330811181532E-5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6.1394046033543162E-2</v>
          </cell>
          <cell r="J373">
            <v>0.14285139894715804</v>
          </cell>
          <cell r="K373">
            <v>3.1773594770964628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6.1394046033542968E-2</v>
          </cell>
          <cell r="J374">
            <v>0.14285139894715768</v>
          </cell>
          <cell r="K374">
            <v>3.1773594770964526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7.0808841351418378E-2</v>
          </cell>
          <cell r="J375">
            <v>0.16475769243980062</v>
          </cell>
          <cell r="K375">
            <v>3.6646081633045502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7.0808841351418378E-2</v>
          </cell>
          <cell r="J376">
            <v>0.16475769243980062</v>
          </cell>
          <cell r="K376">
            <v>3.6646081633045502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3.2706057988215097E-2</v>
          </cell>
          <cell r="J377">
            <v>0.48118838864084001</v>
          </cell>
          <cell r="K377">
            <v>0.83385725931821997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5.611070393603957E-2</v>
          </cell>
          <cell r="J378">
            <v>0.51747601378501573</v>
          </cell>
          <cell r="K378">
            <v>1.080915261927111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0.82964986558578058</v>
          </cell>
          <cell r="J379">
            <v>1.4212501304180323</v>
          </cell>
          <cell r="K379">
            <v>5.8670651642181513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0.82964986558578058</v>
          </cell>
          <cell r="J380">
            <v>1.4212501304180323</v>
          </cell>
          <cell r="K380">
            <v>5.8670651642181513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0.82964986558578002</v>
          </cell>
          <cell r="J381">
            <v>1.4212501304180301</v>
          </cell>
          <cell r="K381">
            <v>5.8670651642181504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0.19423840697414499</v>
          </cell>
          <cell r="J382">
            <v>0.170541116150634</v>
          </cell>
          <cell r="K382">
            <v>1.36598179771104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0.23916388079357501</v>
          </cell>
          <cell r="J383">
            <v>0.40970499694420798</v>
          </cell>
          <cell r="K383">
            <v>1.6913038175058099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7.9626764301446982E-4</v>
          </cell>
          <cell r="J384">
            <v>5.2832975618284815E-3</v>
          </cell>
          <cell r="K384">
            <v>3.4843951581004361E-6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7.9553645142309021E-4</v>
          </cell>
          <cell r="J385">
            <v>5.2832975618285066E-3</v>
          </cell>
          <cell r="K385">
            <v>3.4843951581004378E-6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9.6517210894730184E-4</v>
          </cell>
          <cell r="J386">
            <v>6.2156441903863805E-3</v>
          </cell>
          <cell r="K386">
            <v>3.060535554106847E-6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9.6517210894730184E-4</v>
          </cell>
          <cell r="J387">
            <v>6.2156441903863805E-3</v>
          </cell>
          <cell r="K387">
            <v>3.060535554106847E-6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7.0555259619304602E-4</v>
          </cell>
          <cell r="J388">
            <v>4.6591517250421204E-3</v>
          </cell>
          <cell r="K388">
            <v>7.0005621656680001E-7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9.9872195632597733E-4</v>
          </cell>
          <cell r="J389">
            <v>5.3703780129762419E-3</v>
          </cell>
          <cell r="K389">
            <v>2.5744903887955006E-4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7.1908861783549503</v>
          </cell>
          <cell r="J390">
            <v>7.5576938545917685</v>
          </cell>
          <cell r="K390">
            <v>8.3483960644935955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7.1908861783549503</v>
          </cell>
          <cell r="J391">
            <v>7.5576938545917685</v>
          </cell>
          <cell r="K391">
            <v>8.3483960644935955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7.1908861783549503</v>
          </cell>
          <cell r="J392">
            <v>7.5576938545917702</v>
          </cell>
          <cell r="K392">
            <v>8.3483960644936008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0.100607918179621</v>
          </cell>
          <cell r="J393">
            <v>0.10574016238148599</v>
          </cell>
          <cell r="K393">
            <v>1.8717676076265899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2.07292278872856</v>
          </cell>
          <cell r="J394">
            <v>2.1786627452829102</v>
          </cell>
          <cell r="K394">
            <v>2.4065991261727002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6.2298741563414871E-4</v>
          </cell>
          <cell r="J395">
            <v>1.3096327262356801E-3</v>
          </cell>
          <cell r="K395">
            <v>1.0936723657087131E-3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6.2356001436175267E-4</v>
          </cell>
          <cell r="J396">
            <v>1.3096327262356754E-3</v>
          </cell>
          <cell r="K396">
            <v>1.0936723657087111E-3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7.5582952876202707E-4</v>
          </cell>
          <cell r="J397">
            <v>1.5407443838065707E-3</v>
          </cell>
          <cell r="K397">
            <v>1.2151915174541917E-3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7.5582952876202707E-4</v>
          </cell>
          <cell r="J398">
            <v>1.5407443838065707E-3</v>
          </cell>
          <cell r="K398">
            <v>1.2151915174541917E-3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6.4143649781158297E-4</v>
          </cell>
          <cell r="J399">
            <v>5.9006731208327502E-4</v>
          </cell>
          <cell r="K399">
            <v>9.6146391798724907E-6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7.623100587442422E-4</v>
          </cell>
          <cell r="J400">
            <v>1.2353392780090021E-3</v>
          </cell>
          <cell r="K400">
            <v>6.1828638354503862E-4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1.3194304228410878E-4</v>
          </cell>
          <cell r="J401">
            <v>9.930037518609793E-5</v>
          </cell>
          <cell r="K401">
            <v>6.336817729053461E-5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42.069082871106531</v>
          </cell>
          <cell r="J402">
            <v>35.638627333156286</v>
          </cell>
          <cell r="K402">
            <v>32.99598004574915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42.069214814148864</v>
          </cell>
          <cell r="J403">
            <v>35.638726521531041</v>
          </cell>
          <cell r="K403">
            <v>32.996043367164283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1.0087539424210899E-8</v>
          </cell>
          <cell r="J404">
            <v>1.3472724578066E-8</v>
          </cell>
          <cell r="K404">
            <v>2.43020450054197E-8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4.3683888613782793</v>
          </cell>
          <cell r="J405">
            <v>4.3683888755235278</v>
          </cell>
          <cell r="K405">
            <v>4.3683889004919223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0.53255658970948783</v>
          </cell>
          <cell r="J406">
            <v>0.93567181724188797</v>
          </cell>
          <cell r="K406">
            <v>1.348896281976552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1.3927338641866751</v>
          </cell>
          <cell r="J407">
            <v>2.4469546538683034</v>
          </cell>
          <cell r="K407">
            <v>3.5276129776359659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1.8326512832790733</v>
          </cell>
          <cell r="J408">
            <v>3.0572564729262659</v>
          </cell>
          <cell r="K408">
            <v>4.4048577128709452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6.2984601849793004E-8</v>
          </cell>
          <cell r="J409">
            <v>1.6476557464924602E-2</v>
          </cell>
          <cell r="K409">
            <v>5.8776187366764002E-2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2.4348132462067511E-2</v>
          </cell>
          <cell r="J410">
            <v>4.082440740213502E-2</v>
          </cell>
          <cell r="K410">
            <v>8.158403632282811E-2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6.7681034256656747E-4</v>
          </cell>
          <cell r="K411">
            <v>2.3682466232450346E-3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6.7681034256656747E-4</v>
          </cell>
          <cell r="K412">
            <v>2.3682466232450346E-3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9.7974121278831206E-8</v>
          </cell>
          <cell r="J413">
            <v>8.4050036250661107E-5</v>
          </cell>
          <cell r="K413">
            <v>7.1510642392547696E-5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9.7974121278831206E-8</v>
          </cell>
          <cell r="J414">
            <v>8.4067389615451901E-5</v>
          </cell>
          <cell r="K414">
            <v>1.00299565598031E-4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142.8635137276103</v>
          </cell>
          <cell r="J415">
            <v>123.06694420877666</v>
          </cell>
          <cell r="K415">
            <v>96.720743146453941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145.19771596442396</v>
          </cell>
          <cell r="J416">
            <v>124.63003115045389</v>
          </cell>
          <cell r="K416">
            <v>97.253047669217082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2.09321691902596E-8</v>
          </cell>
          <cell r="J417">
            <v>3.1797697713644598E-8</v>
          </cell>
          <cell r="K417">
            <v>1.0273423418611101E-7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15.305609222655102</v>
          </cell>
          <cell r="J418">
            <v>15.305609234577407</v>
          </cell>
          <cell r="K418">
            <v>15.305609297285288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12.261004452948349</v>
          </cell>
          <cell r="J419">
            <v>12.268722771672779</v>
          </cell>
          <cell r="K419">
            <v>12.284943593235417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12.261004452948349</v>
          </cell>
          <cell r="J420">
            <v>12.268722771672779</v>
          </cell>
          <cell r="K420">
            <v>12.284943593235417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9.5639148947901143E-5</v>
          </cell>
          <cell r="J422">
            <v>1.4190931310252293E-4</v>
          </cell>
          <cell r="K422">
            <v>1.1501039724770527E-4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9.5727052577448729E-5</v>
          </cell>
          <cell r="J423">
            <v>1.4190931310252244E-4</v>
          </cell>
          <cell r="K423">
            <v>1.1501039724770513E-4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1.1603199932643409E-4</v>
          </cell>
          <cell r="J424">
            <v>1.6695213306191229E-4</v>
          </cell>
          <cell r="K424">
            <v>1.2778933027524748E-4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1.1603199932643409E-4</v>
          </cell>
          <cell r="J425">
            <v>1.6695213306191229E-4</v>
          </cell>
          <cell r="K425">
            <v>1.2778933027524748E-4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1.87059613964178E-4</v>
          </cell>
          <cell r="J426">
            <v>1.1523741313990201E-5</v>
          </cell>
          <cell r="K426">
            <v>2.2922339528254201E-5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2.3004028291679043E-4</v>
          </cell>
          <cell r="J427">
            <v>2.0008248370853305E-4</v>
          </cell>
          <cell r="K427">
            <v>1.0935336717183505E-4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0.14280373294670107</v>
          </cell>
          <cell r="J428">
            <v>1.5286968549232342E-5</v>
          </cell>
          <cell r="K428"/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12.317366018467499</v>
          </cell>
          <cell r="J429">
            <v>1.3185592774663201E-3</v>
          </cell>
          <cell r="K429"/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0.16712843987065742</v>
          </cell>
          <cell r="J430">
            <v>1.7890899287195637E-5</v>
          </cell>
          <cell r="K430"/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5.1765753725703401E-3</v>
          </cell>
          <cell r="J431">
            <v>2.4836846340937201E-7</v>
          </cell>
          <cell r="K431">
            <v>1.4331480886222099E-7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1.8113202556731534E-2</v>
          </cell>
          <cell r="J432">
            <v>2.1717661156010065E-4</v>
          </cell>
          <cell r="K432">
            <v>1.1947972797661001E-4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0.16733193999949741</v>
          </cell>
          <cell r="J433">
            <v>0.64953131909429251</v>
          </cell>
          <cell r="K433">
            <v>1.0727672692526673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9.4195319986597873E-4</v>
          </cell>
          <cell r="J434">
            <v>6.1518538557552417E-4</v>
          </cell>
          <cell r="K434">
            <v>2.2085380279751599E-4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9.7138528917065613E-4</v>
          </cell>
          <cell r="J435">
            <v>6.4356465562232011E-4</v>
          </cell>
          <cell r="K435">
            <v>2.303801355657239E-4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6.1477430798287001E-4</v>
          </cell>
          <cell r="J436">
            <v>4.6703973809130665E-4</v>
          </cell>
          <cell r="K436">
            <v>2.0857342464326311E-4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3.9835371115651075E-5</v>
          </cell>
          <cell r="J437">
            <v>5.0693774900440897E-5</v>
          </cell>
          <cell r="K437">
            <v>2.5264802228877384E-5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3.8547250981950124E-2</v>
          </cell>
          <cell r="J438">
            <v>0.29954458032818365</v>
          </cell>
          <cell r="K438">
            <v>0.538682112926269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2.220580906011714E-2</v>
          </cell>
          <cell r="J439">
            <v>8.6738886997705295E-2</v>
          </cell>
          <cell r="K439">
            <v>0.15508779551502652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2.8206486795959312E-2</v>
          </cell>
          <cell r="J440">
            <v>9.2878024192034919E-2</v>
          </cell>
          <cell r="K440">
            <v>0.15301886350999094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2.1783076493367987E-2</v>
          </cell>
          <cell r="J441">
            <v>8.4372669867761887E-2</v>
          </cell>
          <cell r="K441">
            <v>0.14468622769514289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1.6356066560466889E-4</v>
          </cell>
          <cell r="J442">
            <v>1.3056724262437453E-4</v>
          </cell>
          <cell r="K442">
            <v>3.2415364031715153E-5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2.9289033844049681E-5</v>
          </cell>
          <cell r="J443">
            <v>5.8931829944450142E-5</v>
          </cell>
          <cell r="K443">
            <v>1.9559732778876685E-4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3.3119600936299481E-2</v>
          </cell>
          <cell r="J444">
            <v>5.6142703170383203E-2</v>
          </cell>
          <cell r="K444">
            <v>7.5714163163092568E-2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4.5502320941933759E-4</v>
          </cell>
          <cell r="J445">
            <v>7.6683763052378848E-5</v>
          </cell>
          <cell r="K445">
            <v>4.0849750946431775E-5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1.4022401552113236E-2</v>
          </cell>
          <cell r="J446">
            <v>1.9399161739550488E-2</v>
          </cell>
          <cell r="K446">
            <v>8.104791853790318E-5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4.943677251285759E-4</v>
          </cell>
          <cell r="J447">
            <v>4.6539488660565965E-4</v>
          </cell>
          <cell r="K447">
            <v>2.6592728352341368E-4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7.2310990287262138E-4</v>
          </cell>
          <cell r="J448">
            <v>6.9232242179382121E-4</v>
          </cell>
          <cell r="K448">
            <v>4.5620987796562783E-4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8.1934757063254848E-4</v>
          </cell>
          <cell r="J449">
            <v>8.2139680150856401E-4</v>
          </cell>
          <cell r="K449">
            <v>6.741310138491059E-4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1.5677489464776299E-5</v>
          </cell>
          <cell r="J450">
            <v>1.4760184539872494E-5</v>
          </cell>
          <cell r="K450">
            <v>1.0803649562030781E-5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1.4278562112111914E-5</v>
          </cell>
          <cell r="J451">
            <v>1.2085079437205334E-5</v>
          </cell>
          <cell r="K451">
            <v>9.3009113782013725E-6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8.7187488986277329E-6</v>
          </cell>
          <cell r="J452">
            <v>7.4597836797645742E-6</v>
          </cell>
          <cell r="K452">
            <v>6.0378119359425518E-6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1.9585109556148461E-5</v>
          </cell>
          <cell r="J453">
            <v>2.2815159715655792E-5</v>
          </cell>
          <cell r="K453">
            <v>1.4653615042912987E-5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5.7744002365649168E-5</v>
          </cell>
          <cell r="J454">
            <v>4.3479224711522551E-5</v>
          </cell>
          <cell r="K454">
            <v>2.5420494307502832E-5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4.0798306131742609E-3</v>
          </cell>
          <cell r="J455">
            <v>6.3339703966277909E-3</v>
          </cell>
          <cell r="K455">
            <v>3.0799330813559645E-3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0.69538558462928202</v>
          </cell>
          <cell r="J456">
            <v>1.80392460321751</v>
          </cell>
          <cell r="K456">
            <v>2.1501394889734402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0.69588100910765749</v>
          </cell>
          <cell r="J457">
            <v>2.4996477478468373</v>
          </cell>
          <cell r="K457">
            <v>3.7534518262765095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1.1839496474833453</v>
          </cell>
          <cell r="J458">
            <v>1.1839499289955771</v>
          </cell>
          <cell r="K458">
            <v>1.183950240310949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1.1839496474833453</v>
          </cell>
          <cell r="J459">
            <v>1.1839499289955771</v>
          </cell>
          <cell r="K459">
            <v>1.183950240310949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96.289317339238167</v>
          </cell>
          <cell r="J460">
            <v>125.86881927348455</v>
          </cell>
          <cell r="K460">
            <v>102.052280885329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91.598297284391805</v>
          </cell>
          <cell r="J461">
            <v>41.772173022809177</v>
          </cell>
          <cell r="K461">
            <v>39.219472940545586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4.0416607032524402E-4</v>
          </cell>
          <cell r="J462">
            <v>0.96328963834194814</v>
          </cell>
          <cell r="K462">
            <v>2.2008792396433829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193.9716057129115</v>
          </cell>
          <cell r="J463">
            <v>173.12564250450077</v>
          </cell>
          <cell r="K463">
            <v>145.74947710132625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2.6232077986937598E-8</v>
          </cell>
          <cell r="J464">
            <v>3.9840140565773503E-8</v>
          </cell>
          <cell r="K464">
            <v>1.2867196591730699E-7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13.914190219180837</v>
          </cell>
          <cell r="J465">
            <v>13.914190235198054</v>
          </cell>
          <cell r="K465">
            <v>13.914190313762564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0.9017740275936329</v>
          </cell>
          <cell r="J466">
            <v>0.90177424201188949</v>
          </cell>
          <cell r="K466">
            <v>0.90177447913018138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1.1839496474833453</v>
          </cell>
          <cell r="J467">
            <v>1.1839499289955771</v>
          </cell>
          <cell r="K467">
            <v>1.183950240310949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5.1449393217749002E-2</v>
          </cell>
          <cell r="J468">
            <v>1.5132413155494301E-6</v>
          </cell>
          <cell r="K468">
            <v>7.3489570948212096E-2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0.11438043353710978</v>
          </cell>
          <cell r="J469">
            <v>0.11438050734489545</v>
          </cell>
          <cell r="K469">
            <v>0.1308523361908821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104.10648564149888</v>
          </cell>
          <cell r="J470">
            <v>140.05473515228891</v>
          </cell>
          <cell r="K470">
            <v>133.66614226369424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2.6211673838487544E-4</v>
          </cell>
          <cell r="J471">
            <v>1.4635628768886014E-4</v>
          </cell>
          <cell r="K471">
            <v>0.99252176069820097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108.01204272874946</v>
          </cell>
          <cell r="J472">
            <v>144.78860359177057</v>
          </cell>
          <cell r="K472">
            <v>138.22058899178086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6.1700613729927906E-8</v>
          </cell>
          <cell r="J473">
            <v>9.3660638080398201E-8</v>
          </cell>
          <cell r="K473">
            <v>3.0205386272035998E-7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12.649264025262797</v>
          </cell>
          <cell r="J474">
            <v>12.649264098201392</v>
          </cell>
          <cell r="K474">
            <v>12.64926428284102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640.03308346721496</v>
          </cell>
          <cell r="J475">
            <v>265.02465707333499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8.539362390327554</v>
          </cell>
          <cell r="J476">
            <v>3.5359734378611307</v>
          </cell>
          <cell r="K476">
            <v>0.2451233668047757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8.6843023536935586</v>
          </cell>
          <cell r="J477">
            <v>3.5959926332881293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9.9681645081123579E-5</v>
          </cell>
          <cell r="J478">
            <v>3.8748532904697444E-5</v>
          </cell>
          <cell r="K478">
            <v>0.24928667726764611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51.054572317173339</v>
          </cell>
          <cell r="J482">
            <v>49.955113799332075</v>
          </cell>
          <cell r="K482">
            <v>47.773693093153902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51.054572317173339</v>
          </cell>
          <cell r="J483">
            <v>49.955113799332075</v>
          </cell>
          <cell r="K483">
            <v>47.773693093153902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10.577265460075463</v>
          </cell>
          <cell r="J485">
            <v>11.116812402945023</v>
          </cell>
          <cell r="K485">
            <v>12.279877085993288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3.5257551533584857</v>
          </cell>
          <cell r="J486">
            <v>3.7056041343150059</v>
          </cell>
          <cell r="K486">
            <v>4.0932923619977588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21.154530920150901</v>
          </cell>
          <cell r="J487">
            <v>22.233624805890098</v>
          </cell>
          <cell r="K487">
            <v>24.559754171986601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3.1614419939990299E-2</v>
          </cell>
          <cell r="J488">
            <v>0.20690446689851899</v>
          </cell>
          <cell r="K488">
            <v>0.46036639889002701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0.65128972703667132</v>
          </cell>
          <cell r="J489">
            <v>0.68465611193993425</v>
          </cell>
          <cell r="K489">
            <v>0.7570390328665294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7.6289061057136474</v>
          </cell>
          <cell r="J490">
            <v>7.6289062818053699</v>
          </cell>
          <cell r="K490">
            <v>9.4088933972660147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8.2772611263034683</v>
          </cell>
          <cell r="J491">
            <v>8.2718357396748807</v>
          </cell>
          <cell r="K491">
            <v>10.188475378308503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0.79547229595898294</v>
          </cell>
          <cell r="J493">
            <v>0.79547229595898294</v>
          </cell>
          <cell r="K493">
            <v>0.79547229595898294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1.5880873080001272</v>
          </cell>
          <cell r="J494">
            <v>1.4411474883634057</v>
          </cell>
          <cell r="K494">
            <v>4.6672432355017301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1.600185973319495</v>
          </cell>
          <cell r="J495">
            <v>1.4521267091214334</v>
          </cell>
          <cell r="K495">
            <v>4.7028001054458191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6.6457225402680495E-2</v>
          </cell>
          <cell r="J496">
            <v>1.87993480498727E-2</v>
          </cell>
          <cell r="K496">
            <v>0.108909535421989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6.6478747817454206E-2</v>
          </cell>
          <cell r="J497">
            <v>8.5278095867326903E-2</v>
          </cell>
          <cell r="K497">
            <v>0.19418763128931599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1.7187681443336991</v>
          </cell>
          <cell r="J498">
            <v>1.8064494122989507</v>
          </cell>
          <cell r="K498">
            <v>1.9954443213015582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1.7187681443336991</v>
          </cell>
          <cell r="J499">
            <v>1.8064494122989507</v>
          </cell>
          <cell r="K499">
            <v>1.9954443213015582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1.7187681443337</v>
          </cell>
          <cell r="J500">
            <v>1.8064494122989501</v>
          </cell>
          <cell r="K500">
            <v>1.99544432130156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0.112494735846611</v>
          </cell>
          <cell r="J501">
            <v>0.25026435262841801</v>
          </cell>
          <cell r="K501">
            <v>0.23532146677716301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0.49547075086424797</v>
          </cell>
          <cell r="J502">
            <v>0.52074670499715592</v>
          </cell>
          <cell r="K502">
            <v>0.57522841483950005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0.65017093626416456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0.65017093626416456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438.51421332867932</v>
          </cell>
          <cell r="K506">
            <v>804.77359758220928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-438.51421332867898</v>
          </cell>
          <cell r="K507">
            <v>-804.77359758220803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3.1217262660465148</v>
          </cell>
          <cell r="K508">
            <v>5.965818530698014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1.4757251439492574</v>
          </cell>
          <cell r="K509">
            <v>2.8202051236026926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4.3992545781548662</v>
          </cell>
          <cell r="K510">
            <v>8.0793648164813394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5.4564963122858599E-2</v>
          </cell>
          <cell r="K511">
            <v>6.4693243748134094E-2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5.4564963122858599E-2</v>
          </cell>
          <cell r="K512">
            <v>0.104292866715436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2.0205683810482696E-6</v>
          </cell>
          <cell r="J513">
            <v>2.1249241482020264E-6</v>
          </cell>
          <cell r="K513">
            <v>2.1932506551629214E-6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7.1965167525914154E-5</v>
          </cell>
          <cell r="J514">
            <v>7.2892080525807992E-5</v>
          </cell>
          <cell r="K514">
            <v>7.3098285353693715E-5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8.6358201031097045E-6</v>
          </cell>
          <cell r="J515">
            <v>8.7470496630969714E-6</v>
          </cell>
          <cell r="K515">
            <v>8.5262755618745774E-6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9.7152976159984152E-5</v>
          </cell>
          <cell r="J516">
            <v>9.8404308709840895E-5</v>
          </cell>
          <cell r="K516">
            <v>9.8682685227486489E-5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1.4368839557779101E-6</v>
          </cell>
          <cell r="J517">
            <v>9.0147768519370597E-7</v>
          </cell>
          <cell r="K517">
            <v>1.5932228621380699E-6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5.162118599463684E-6</v>
          </cell>
          <cell r="J518">
            <v>4.547313230885016E-6</v>
          </cell>
          <cell r="K518">
            <v>3.7465326822634474E-6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1100.49005209293</v>
          </cell>
          <cell r="J519">
            <v>406.97928519984299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14.68273827126351</v>
          </cell>
          <cell r="J520">
            <v>5.4299195223917023</v>
          </cell>
          <cell r="K520">
            <v>0.53059529248630444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14.932022416457615</v>
          </cell>
          <cell r="J521">
            <v>5.5221069904998954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9.9698551890863501E-5</v>
          </cell>
          <cell r="J522">
            <v>3.8804536423453098E-5</v>
          </cell>
          <cell r="K522">
            <v>0.53960734447036685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35.200337755076148</v>
          </cell>
          <cell r="J523">
            <v>22.619774608333774</v>
          </cell>
          <cell r="K523">
            <v>15.704967397795416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35.200337755076148</v>
          </cell>
          <cell r="J524">
            <v>22.619774608333774</v>
          </cell>
          <cell r="K524">
            <v>15.704967397795416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9.6339679583392898E-8</v>
          </cell>
          <cell r="J525">
            <v>1.40411206056448E-7</v>
          </cell>
          <cell r="K525">
            <v>2.0790568465359601E-7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3.7500001166328829</v>
          </cell>
          <cell r="J526">
            <v>2.3999999953028808</v>
          </cell>
          <cell r="K526">
            <v>2.3999999944671964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3.6757820608345433E-2</v>
          </cell>
          <cell r="K527">
            <v>0.23182988275486649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-3.6757820608345398E-2</v>
          </cell>
          <cell r="K528">
            <v>-0.23182988275486699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8.1467950437073537E-5</v>
          </cell>
          <cell r="K529">
            <v>5.1381461374829331E-4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4.1280420802853381E-4</v>
          </cell>
          <cell r="K530">
            <v>1.9850893892202097E-3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2.0901688667488099E-5</v>
          </cell>
          <cell r="K531">
            <v>1.49907274456481E-5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1.0063933257286401E-5</v>
          </cell>
          <cell r="K532">
            <v>3.1994287205690002E-5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6.140921848404369E-5</v>
          </cell>
          <cell r="J533">
            <v>2.871285290592835E-2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1.51348930365936E-2</v>
          </cell>
          <cell r="J534">
            <v>6.4766503622845599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2.0535811447209768E-4</v>
          </cell>
          <cell r="J535">
            <v>8.7878566652436485E-2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1.82086027704503E-4</v>
          </cell>
          <cell r="J536">
            <v>1.6867438982094801E-7</v>
          </cell>
          <cell r="K536">
            <v>5.9516604603532398E-8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3.9864235201095159E-2</v>
          </cell>
          <cell r="J537">
            <v>3.9863995719473057E-2</v>
          </cell>
          <cell r="K537">
            <v>2.0012677723999991E-4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9.0942339821941456</v>
          </cell>
          <cell r="J538">
            <v>7.6564127239838609</v>
          </cell>
          <cell r="K538">
            <v>4.9127356511882834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9.0942339821941456</v>
          </cell>
          <cell r="J539">
            <v>7.6564127239838609</v>
          </cell>
          <cell r="K539">
            <v>4.9127356511882834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1.1314459326948921E-4</v>
          </cell>
          <cell r="J540">
            <v>1.7453004495780923E-4</v>
          </cell>
          <cell r="K540">
            <v>4.2674793203504241E-5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1.7692704399055451E-4</v>
          </cell>
          <cell r="J541">
            <v>2.6690562945421695E-4</v>
          </cell>
          <cell r="K541">
            <v>6.2672033122141395E-5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3.9484290557883475E-4</v>
          </cell>
          <cell r="J542">
            <v>5.70342641938138E-4</v>
          </cell>
          <cell r="K542">
            <v>1.4929137735011171E-4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5.2501411171318804E-6</v>
          </cell>
          <cell r="J543">
            <v>2.3842665130448899E-6</v>
          </cell>
          <cell r="K543">
            <v>1.0688498654911499E-6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1.36145697661662E-5</v>
          </cell>
          <cell r="J544">
            <v>1.3335619574130772E-5</v>
          </cell>
          <cell r="K544">
            <v>5.0136318257828171E-6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32.820799693783854</v>
          </cell>
          <cell r="J545">
            <v>32.820799843264332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98.945498483507379</v>
          </cell>
          <cell r="J546">
            <v>98.945498934149086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1.22</v>
          </cell>
          <cell r="J547">
            <v>1.22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2.094855507923085E-5</v>
          </cell>
          <cell r="J548">
            <v>8.7748074392443561E-6</v>
          </cell>
          <cell r="K548">
            <v>8.4580440943097085E-6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2.094855507923085E-5</v>
          </cell>
          <cell r="J549">
            <v>8.7748074392443561E-6</v>
          </cell>
          <cell r="K549">
            <v>8.4580440943097085E-6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5.2077780737285202E-6</v>
          </cell>
          <cell r="J550">
            <v>6.1016161421063802E-6</v>
          </cell>
          <cell r="K550">
            <v>2.14393545736337E-6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8.4966399104488294E-6</v>
          </cell>
          <cell r="J551">
            <v>7.0240278104420003E-6</v>
          </cell>
          <cell r="K551">
            <v>4.2338686255130498E-6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K552">
            <v>0.15851204065887395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K553">
            <v>21.307424533454999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K554">
            <v>0.37779121513218072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2.2399439864683499E-5</v>
          </cell>
          <cell r="J555">
            <v>9.3252750493129672E-5</v>
          </cell>
          <cell r="K555">
            <v>0.11019206961285942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9.3014024726809604E-5</v>
          </cell>
          <cell r="J556">
            <v>5.7983820271813404E-7</v>
          </cell>
          <cell r="K556">
            <v>0.14878911917062701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2.2399439864683499E-5</v>
          </cell>
          <cell r="J557">
            <v>9.3252750493129632E-5</v>
          </cell>
          <cell r="K557">
            <v>0.11019206961285888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2.0452905435277986E-5</v>
          </cell>
          <cell r="J558">
            <v>8.9425607299020637E-6</v>
          </cell>
          <cell r="K558">
            <v>9.4665135515168236E-6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2.0608723604986606E-5</v>
          </cell>
          <cell r="J559">
            <v>9.0106886274201388E-6</v>
          </cell>
          <cell r="K559">
            <v>9.5386331249332761E-6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2.90016495263387E-6</v>
          </cell>
          <cell r="J560">
            <v>9.7372659894852406E-8</v>
          </cell>
          <cell r="K560">
            <v>5.9826866316258201E-8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8.4881104162416108E-6</v>
          </cell>
          <cell r="J561">
            <v>8.5854830761364708E-6</v>
          </cell>
          <cell r="K561">
            <v>8.6453099424527297E-6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13.789597073107457</v>
          </cell>
          <cell r="J562">
            <v>13.156034881654488</v>
          </cell>
          <cell r="K562">
            <v>8.2607671276406549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13.789597073107457</v>
          </cell>
          <cell r="J563">
            <v>13.156034881654488</v>
          </cell>
          <cell r="K563">
            <v>8.2607671276406549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2.6437389980314461E-5</v>
          </cell>
          <cell r="J564">
            <v>0.14281501841808847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1.3596371989876003E-4</v>
          </cell>
          <cell r="J565">
            <v>0.73447723757873995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1.8964127039057501E-2</v>
          </cell>
          <cell r="J566">
            <v>90.5244728527028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2.5731515656794376E-4</v>
          </cell>
          <cell r="J567">
            <v>1.2282832137408792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6.7797758885217298E-7</v>
          </cell>
          <cell r="J568">
            <v>1.4180843477132001E-2</v>
          </cell>
          <cell r="K568">
            <v>2.88903818820947E-8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9.9718324829128641E-4</v>
          </cell>
          <cell r="J569">
            <v>1.4529015405854946E-2</v>
          </cell>
          <cell r="K569">
            <v>3.9089387123198913E-5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8.7281819188900087E-2</v>
          </cell>
          <cell r="K570">
            <v>0.11156494629322866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0.10598506615794971</v>
          </cell>
          <cell r="K571">
            <v>0.14078433698907403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0.20781385521166676</v>
          </cell>
          <cell r="K572">
            <v>0.26563082450768732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1.22587649045577E-2</v>
          </cell>
          <cell r="K573">
            <v>6.2201979072005303E-6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1.22587649045577E-2</v>
          </cell>
          <cell r="K574">
            <v>1.22649851024649E-2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27.72786324891058</v>
          </cell>
          <cell r="J575">
            <v>40.847646985549105</v>
          </cell>
          <cell r="K575">
            <v>50.935792746051874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27.72786324891058</v>
          </cell>
          <cell r="J576">
            <v>40.847646985549105</v>
          </cell>
          <cell r="K576">
            <v>50.935792746051874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27.727863248910602</v>
          </cell>
          <cell r="J577">
            <v>40.847646985549098</v>
          </cell>
          <cell r="K577">
            <v>50.935792746051902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2.8908321614941799</v>
          </cell>
          <cell r="J578">
            <v>4.4944812557074796</v>
          </cell>
          <cell r="K578">
            <v>7.3333284205044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7.9931343489138005</v>
          </cell>
          <cell r="J579">
            <v>11.775185381356437</v>
          </cell>
          <cell r="K579">
            <v>14.6833035868988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0.43014234239542798</v>
          </cell>
          <cell r="J580">
            <v>0.225875161013804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4.7730448809452939E-3</v>
          </cell>
          <cell r="J581">
            <v>2.4529169307467018E-3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2.1066868445765124E-3</v>
          </cell>
          <cell r="J582">
            <v>1.0923145707231413E-3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7.6266372765146813E-3</v>
          </cell>
          <cell r="J583">
            <v>4.0048787413795098E-3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1.87266389116486E-4</v>
          </cell>
          <cell r="J585">
            <v>9.7099681948331097E-5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3.9367691049958919E-3</v>
          </cell>
          <cell r="J589">
            <v>0.45853757192729183</v>
          </cell>
          <cell r="K589">
            <v>0.33145356783849639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1.4799335709521585E-3</v>
          </cell>
          <cell r="J590">
            <v>0.17237616129859284</v>
          </cell>
          <cell r="K590">
            <v>0.12460198043499725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5.5418454921740187E-3</v>
          </cell>
          <cell r="J591">
            <v>0.62956142893706357</v>
          </cell>
          <cell r="K591">
            <v>0.43745988456241575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9.0924635026834E-5</v>
          </cell>
          <cell r="J592">
            <v>1.26870699292463E-2</v>
          </cell>
          <cell r="K592">
            <v>1.2013731941652E-8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1.0982659796200299E-4</v>
          </cell>
          <cell r="J593">
            <v>1.27909043461834E-2</v>
          </cell>
          <cell r="K593">
            <v>9.2458971619047946E-3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8.4679357669516654E-4</v>
          </cell>
          <cell r="J594">
            <v>3.3448163902409012E-3</v>
          </cell>
          <cell r="K594">
            <v>3.4847896113845824E-6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8.4757187961492168E-4</v>
          </cell>
          <cell r="J595">
            <v>3.3448163902408917E-3</v>
          </cell>
          <cell r="K595">
            <v>3.4847896113845807E-6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1.027359062402599E-3</v>
          </cell>
          <cell r="J596">
            <v>3.9350781061656803E-3</v>
          </cell>
          <cell r="K596">
            <v>3.0608874494096669E-6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1.027359062402599E-3</v>
          </cell>
          <cell r="J597">
            <v>3.9350781061656803E-3</v>
          </cell>
          <cell r="K597">
            <v>3.0608874494096669E-6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6.2224989624451899E-4</v>
          </cell>
          <cell r="J598">
            <v>2.5694413468652201E-3</v>
          </cell>
          <cell r="K598">
            <v>6.8914444206113996E-7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1.0541887879857684E-3</v>
          </cell>
          <cell r="J599">
            <v>3.4083546372399957E-3</v>
          </cell>
          <cell r="K599">
            <v>2.6459217670984979E-4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1.3065243248745349E-5</v>
          </cell>
          <cell r="J600">
            <v>1.6567284897554823E-5</v>
          </cell>
          <cell r="K600">
            <v>1.0386979274356177E-5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5.0954448670106808E-6</v>
          </cell>
          <cell r="J601">
            <v>6.4612411100463703E-6</v>
          </cell>
          <cell r="K601">
            <v>3.8290384104833207E-6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3.7229410637299845E-5</v>
          </cell>
          <cell r="J602">
            <v>4.720847831558244E-5</v>
          </cell>
          <cell r="K602">
            <v>2.962605029046768E-5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9.0803440578780142E-7</v>
          </cell>
          <cell r="J603">
            <v>1.1514263003800607E-6</v>
          </cell>
          <cell r="K603">
            <v>7.2258659245043098E-7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1.7292056605685801E-6</v>
          </cell>
          <cell r="J604">
            <v>6.7637728118472397E-7</v>
          </cell>
          <cell r="K604">
            <v>4.42778867320692E-8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2.9899601164187772E-6</v>
          </cell>
          <cell r="J605">
            <v>2.4369342511547908E-6</v>
          </cell>
          <cell r="K605">
            <v>2.0799780994514959E-6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0.26073099882110246</v>
          </cell>
          <cell r="J606">
            <v>0.18316231989115345</v>
          </cell>
          <cell r="K606">
            <v>0.33612712818582152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0.26073099882110268</v>
          </cell>
          <cell r="J607">
            <v>0.18316231989115361</v>
          </cell>
          <cell r="K607">
            <v>0.33612712818582191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0.28833324041369068</v>
          </cell>
          <cell r="J608">
            <v>0.20255276752985524</v>
          </cell>
          <cell r="K608">
            <v>0.3717111619297932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0.28833324041369068</v>
          </cell>
          <cell r="J609">
            <v>0.20255276752985524</v>
          </cell>
          <cell r="K609">
            <v>0.3717111619297932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5.9427149996692998E-2</v>
          </cell>
          <cell r="J610">
            <v>0.123776603903218</v>
          </cell>
          <cell r="K610">
            <v>0.16802556038411301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0.18062898109527137</v>
          </cell>
          <cell r="J611">
            <v>0.19621266849056537</v>
          </cell>
          <cell r="K611">
            <v>0.24052894536427755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2.1803108254575278E-5</v>
          </cell>
          <cell r="J612">
            <v>2.1808537773318585E-5</v>
          </cell>
          <cell r="K612">
            <v>1.1339543349117529E-5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2.1803108254575278E-5</v>
          </cell>
          <cell r="J613">
            <v>2.1808537773318585E-5</v>
          </cell>
          <cell r="K613">
            <v>1.1339543349117529E-5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6.1834922945787201E-8</v>
          </cell>
          <cell r="J614">
            <v>9.1698105291591306E-8</v>
          </cell>
          <cell r="K614">
            <v>1.36599963972625E-7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4.8280524712840389E-5</v>
          </cell>
          <cell r="J615">
            <v>4.8126708944939978E-5</v>
          </cell>
          <cell r="K615">
            <v>4.8086142111269936E-5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32.955143217738893</v>
          </cell>
          <cell r="J616">
            <v>26.87671137718943</v>
          </cell>
          <cell r="K616">
            <v>20.127153675507632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32.955143217738893</v>
          </cell>
          <cell r="J617">
            <v>26.87671137718943</v>
          </cell>
          <cell r="K617">
            <v>20.127153675507632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1.11801202759903E-7</v>
          </cell>
          <cell r="J618">
            <v>1.6458074648703401E-7</v>
          </cell>
          <cell r="K618">
            <v>2.4651906983161099E-7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2.2689506567563189</v>
          </cell>
          <cell r="J619">
            <v>2.2689505676183632</v>
          </cell>
          <cell r="K619">
            <v>2.2689506300253832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1.2060811890166771E-4</v>
          </cell>
          <cell r="J620">
            <v>4.2079546751372827E-3</v>
          </cell>
          <cell r="K620">
            <v>1.5345229427167133E-3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1.2071897195212857E-4</v>
          </cell>
          <cell r="J621">
            <v>4.2079546751372723E-3</v>
          </cell>
          <cell r="K621">
            <v>1.534522942716712E-3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1.4632523493195035E-4</v>
          </cell>
          <cell r="J622">
            <v>4.9505349119263126E-3</v>
          </cell>
          <cell r="K622">
            <v>1.7050254919075444E-3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1.4632523493195035E-4</v>
          </cell>
          <cell r="J623">
            <v>4.9505349119263126E-3</v>
          </cell>
          <cell r="K623">
            <v>1.7050254919075444E-3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6.3163414286461896E-4</v>
          </cell>
          <cell r="J624">
            <v>3.58212892717789E-3</v>
          </cell>
          <cell r="K624">
            <v>1.1875342460677399E-5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6.9887709109415868E-4</v>
          </cell>
          <cell r="J625">
            <v>4.2232248860901156E-3</v>
          </cell>
          <cell r="K625">
            <v>1.0089393667703399E-3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7.2577294089334231E-5</v>
          </cell>
          <cell r="J626">
            <v>3.2138274122218508E-4</v>
          </cell>
          <cell r="K626">
            <v>1.5350008328974705E-4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7.2577294089334231E-5</v>
          </cell>
          <cell r="J627">
            <v>3.2138274122218508E-4</v>
          </cell>
          <cell r="K627">
            <v>1.5350008328974705E-4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1.08045237411023E-7</v>
          </cell>
          <cell r="J628">
            <v>1.5877692638601299E-7</v>
          </cell>
          <cell r="K628">
            <v>2.37012293011475E-7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2.0223619867287823E-4</v>
          </cell>
          <cell r="J629">
            <v>2.0226723301863814E-4</v>
          </cell>
          <cell r="K629">
            <v>2.0235348716068913E-4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1.6147771646212686E-2</v>
          </cell>
          <cell r="J630">
            <v>1.068146210277536E-2</v>
          </cell>
          <cell r="K630">
            <v>1.8622709122528572E-2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1.6147771646212693E-2</v>
          </cell>
          <cell r="J631">
            <v>1.0681462102775367E-2</v>
          </cell>
          <cell r="K631">
            <v>1.8622709122528593E-2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1.7857259699754595E-2</v>
          </cell>
          <cell r="J632">
            <v>1.1812258933065476E-2</v>
          </cell>
          <cell r="K632">
            <v>2.0594202201685324E-2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1.7857259699754595E-2</v>
          </cell>
          <cell r="J633">
            <v>1.1812258933065476E-2</v>
          </cell>
          <cell r="K633">
            <v>2.0594202201685324E-2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4.7704371816540501E-3</v>
          </cell>
          <cell r="J634">
            <v>5.1372535035203804E-3</v>
          </cell>
          <cell r="K634">
            <v>8.5928450393886104E-3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9.0762998873200225E-3</v>
          </cell>
          <cell r="J635">
            <v>9.9227869957867754E-3</v>
          </cell>
          <cell r="K635">
            <v>1.200633619772302E-2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9.0932782202831795E-4</v>
          </cell>
          <cell r="J636">
            <v>1.2170614117794662E-3</v>
          </cell>
          <cell r="K636">
            <v>3.9839216662792141E-5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1.5408588931629965E-4</v>
          </cell>
          <cell r="J637">
            <v>2.4028668445066358E-4</v>
          </cell>
          <cell r="K637">
            <v>1.1737589818070998E-5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0.23073356388091701</v>
          </cell>
          <cell r="J638">
            <v>0.35981362928452199</v>
          </cell>
          <cell r="K638">
            <v>1.75861669105313E-2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2.4863530590616052E-3</v>
          </cell>
          <cell r="J639">
            <v>3.8773020397038999E-3</v>
          </cell>
          <cell r="K639">
            <v>1.89506108949691E-4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1.16315316367604E-8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4.2267067604037298E-5</v>
          </cell>
          <cell r="J641">
            <v>4.2207910674477503E-5</v>
          </cell>
          <cell r="K641">
            <v>5.8172737302567522E-6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2.4239063756170829E-2</v>
          </cell>
          <cell r="J642">
            <v>1.8415072179841924E-2</v>
          </cell>
          <cell r="K642">
            <v>9.4499476245348726E-2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2.4239063756170822E-2</v>
          </cell>
          <cell r="J643">
            <v>1.8415072179841903E-2</v>
          </cell>
          <cell r="K643">
            <v>9.4499476245348615E-2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3.4627252722209047E-2</v>
          </cell>
          <cell r="J644">
            <v>2.630726176231056E-2</v>
          </cell>
          <cell r="K644">
            <v>0.13499926365658638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3.4627252722209047E-2</v>
          </cell>
          <cell r="J645">
            <v>2.630726176231056E-2</v>
          </cell>
          <cell r="K645">
            <v>0.13499926365658638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8.3788021193380301E-8</v>
          </cell>
          <cell r="J646">
            <v>8.69779861847318E-8</v>
          </cell>
          <cell r="K646">
            <v>5.8030933606627097E-8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9.9999850799627699E-2</v>
          </cell>
          <cell r="J647">
            <v>9.9999886429978882E-2</v>
          </cell>
          <cell r="K647">
            <v>9.9999889707716699E-2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5.1590359420725715E-6</v>
          </cell>
          <cell r="J648">
            <v>5.206478782649534E-6</v>
          </cell>
          <cell r="K648">
            <v>5.2012181564254829E-6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5.1590359420725715E-6</v>
          </cell>
          <cell r="J649">
            <v>5.206478782649534E-6</v>
          </cell>
          <cell r="K649">
            <v>5.2012181564254829E-6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5.1590359420725698E-6</v>
          </cell>
          <cell r="J650">
            <v>5.2064787826495298E-6</v>
          </cell>
          <cell r="K650">
            <v>5.2012181564254804E-6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2.1567304492179401E-7</v>
          </cell>
          <cell r="J651">
            <v>2.4155690022932701E-8</v>
          </cell>
          <cell r="K651">
            <v>5.33151429230503E-7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1.3106543319453801E-6</v>
          </cell>
          <cell r="J652">
            <v>1.33481002196831E-6</v>
          </cell>
          <cell r="K652">
            <v>1.0139029655012599E-6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46.327756610848503</v>
          </cell>
          <cell r="J653">
            <v>20.332378124178099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0.50574873224655725</v>
          </cell>
          <cell r="J654">
            <v>0.22076409528693286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0.24773024090235518</v>
          </cell>
          <cell r="J655">
            <v>0.10948463262197482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0.82141412430582472</v>
          </cell>
          <cell r="J656">
            <v>0.36050315823010842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1.8382418128482386E-2</v>
          </cell>
          <cell r="J658">
            <v>8.1241216169487974E-3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8.0463319963108416E-6</v>
          </cell>
          <cell r="J659">
            <v>1.1595052525347413</v>
          </cell>
          <cell r="K659">
            <v>1.2268314935067954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8.127608077081667E-6</v>
          </cell>
          <cell r="J660">
            <v>1.1712174268027695</v>
          </cell>
          <cell r="K660">
            <v>1.2392237308149443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4.5963758003792404E-6</v>
          </cell>
          <cell r="J661">
            <v>0.15570512629115399</v>
          </cell>
          <cell r="K661">
            <v>9.0410446234199596E-3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8.2655662186432099E-6</v>
          </cell>
          <cell r="J662">
            <v>0.15571339185737201</v>
          </cell>
          <cell r="K662">
            <v>0.16475443648079199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2.99014183268867</v>
          </cell>
          <cell r="J663">
            <v>2.9494210146540087</v>
          </cell>
          <cell r="K663">
            <v>2.8712114411392293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2.99014183268867</v>
          </cell>
          <cell r="J664">
            <v>2.9494210146540087</v>
          </cell>
          <cell r="K664">
            <v>2.8712114411392293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1.164906685703156</v>
          </cell>
          <cell r="J665">
            <v>1.0059045623994656</v>
          </cell>
          <cell r="K665">
            <v>1.0059044913812101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1.1059355565805749</v>
          </cell>
          <cell r="J666">
            <v>1.1059355528743231</v>
          </cell>
          <cell r="K666">
            <v>1.1059354747937413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2.99014183268867</v>
          </cell>
          <cell r="J667">
            <v>2.9494210146540087</v>
          </cell>
          <cell r="K667">
            <v>2.8712114411392293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4.40836627780972E-2</v>
          </cell>
          <cell r="J668">
            <v>3.1150893486620999E-2</v>
          </cell>
          <cell r="K668">
            <v>4.34895860584203E-2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8.474399523996079E-2</v>
          </cell>
          <cell r="J669">
            <v>8.4743981479286898E-2</v>
          </cell>
          <cell r="K669">
            <v>8.4743979140964876E-2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4.7747068974089479E-4</v>
          </cell>
          <cell r="J670">
            <v>1.9393402215374809E-2</v>
          </cell>
          <cell r="K670">
            <v>2.8547010649093287E-2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3.2999460633067123E-4</v>
          </cell>
          <cell r="J671">
            <v>1.221066065412489E-2</v>
          </cell>
          <cell r="K671">
            <v>1.6135266888617952E-2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9.4082894530225542E-4</v>
          </cell>
          <cell r="J672">
            <v>3.5913707806249646E-2</v>
          </cell>
          <cell r="K672">
            <v>4.9646975041901416E-2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1.8940166033411298E-5</v>
          </cell>
          <cell r="J673">
            <v>1.11301699006455E-3</v>
          </cell>
          <cell r="K673">
            <v>8.5964401755557604E-4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2.80506655411576E-5</v>
          </cell>
          <cell r="J674">
            <v>1.1381795025358699E-3</v>
          </cell>
          <cell r="K674">
            <v>1.67540934881637E-3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0.25966928032086195</v>
          </cell>
          <cell r="J675">
            <v>0.18286917420860879</v>
          </cell>
          <cell r="K675">
            <v>0.33518383849114386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0.25966928032086245</v>
          </cell>
          <cell r="J676">
            <v>0.1828691742086089</v>
          </cell>
          <cell r="K676">
            <v>0.33518383849114403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0.2871591232984021</v>
          </cell>
          <cell r="J677">
            <v>0.20222858803949378</v>
          </cell>
          <cell r="K677">
            <v>0.3706680110647706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0.2871591232984021</v>
          </cell>
          <cell r="J678">
            <v>0.20222858803949378</v>
          </cell>
          <cell r="K678">
            <v>0.3706680110647706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6.3090305958414597E-2</v>
          </cell>
          <cell r="J679">
            <v>0.12111445476199199</v>
          </cell>
          <cell r="K679">
            <v>0.16803973975160799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0.17988861511745885</v>
          </cell>
          <cell r="J680">
            <v>0.19605484535664039</v>
          </cell>
          <cell r="K680">
            <v>0.23985088509904806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588.16312711816101</v>
          </cell>
          <cell r="J681">
            <v>359.21038380469298</v>
          </cell>
          <cell r="K681">
            <v>57.703100989530903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0.28720551393287996</v>
          </cell>
          <cell r="J682">
            <v>0.16605330954915259</v>
          </cell>
          <cell r="K682">
            <v>0.10731989735951289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12.837351607212584</v>
          </cell>
          <cell r="J683">
            <v>8.7912182958474645</v>
          </cell>
          <cell r="K683">
            <v>3.4625550255508823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10.4284242396837</v>
          </cell>
          <cell r="J684">
            <v>6.3689784362534345</v>
          </cell>
          <cell r="K684">
            <v>1.0231046274739513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2.4508566150043882</v>
          </cell>
          <cell r="J685">
            <v>2.450856702139403</v>
          </cell>
          <cell r="K685">
            <v>2.4508567957224869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0.28720549815077834</v>
          </cell>
          <cell r="J686">
            <v>0.16605331700924877</v>
          </cell>
          <cell r="K686">
            <v>0.10731969768461017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8.3640269814689096E-8</v>
          </cell>
          <cell r="J687">
            <v>1.11888840320333E-7</v>
          </cell>
          <cell r="K687">
            <v>3.7243608670048599E-7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1.9844835857505565</v>
          </cell>
          <cell r="J688">
            <v>1.9844836976393967</v>
          </cell>
          <cell r="K688">
            <v>1.0954601372553034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3.6358957293724981</v>
          </cell>
          <cell r="J689">
            <v>7.1993345093761221</v>
          </cell>
          <cell r="K689">
            <v>9.3572354223313248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3.6358957293724981</v>
          </cell>
          <cell r="J690">
            <v>7.1993345093761221</v>
          </cell>
          <cell r="K690">
            <v>9.3572354223313248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0.74282600488207096</v>
          </cell>
          <cell r="J691">
            <v>4.4337259347104298E-7</v>
          </cell>
          <cell r="K691">
            <v>0.87131074372686901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0.60450236052857775</v>
          </cell>
          <cell r="J692">
            <v>1.1969580666720168</v>
          </cell>
          <cell r="K692">
            <v>1.5557296849081099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1.0845865364145085E-3</v>
          </cell>
          <cell r="K693">
            <v>6.6367826326417871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7.230576909430058E-3</v>
          </cell>
          <cell r="K694">
            <v>44.245217550945291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2.7493660094828802E-4</v>
          </cell>
          <cell r="K695">
            <v>0.45595682729322801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4.3041316563736599E-5</v>
          </cell>
          <cell r="K696">
            <v>0.26336441719202841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1.3074298881582929</v>
          </cell>
          <cell r="J697">
            <v>1.4166787045834823</v>
          </cell>
          <cell r="K697">
            <v>1.1873863038217309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1.3074298881582929</v>
          </cell>
          <cell r="J698">
            <v>1.4166787045834823</v>
          </cell>
          <cell r="K698">
            <v>1.1873863038217309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4.6110741646233366</v>
          </cell>
          <cell r="J699">
            <v>4.894458927888504</v>
          </cell>
          <cell r="K699">
            <v>5.5145468469403403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4.6110741646233366</v>
          </cell>
          <cell r="J700">
            <v>4.894458927888504</v>
          </cell>
          <cell r="K700">
            <v>5.5145468469403403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4.6110741646233402</v>
          </cell>
          <cell r="J701">
            <v>4.8944589278885102</v>
          </cell>
          <cell r="K701">
            <v>5.5145468469403403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0.29984435212979199</v>
          </cell>
          <cell r="J702">
            <v>0.66479876604852495</v>
          </cell>
          <cell r="K702">
            <v>0.68594988307655502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1.329238221522034</v>
          </cell>
          <cell r="J703">
            <v>1.410929785490221</v>
          </cell>
          <cell r="K703">
            <v>1.5896830425095501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3.8297266387882835E-4</v>
          </cell>
          <cell r="K704">
            <v>1.3472326781415449E-3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-3.8297266387882797E-4</v>
          </cell>
          <cell r="K705">
            <v>-1.34723267814154E-3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2.546454302774638E-6</v>
          </cell>
          <cell r="K706">
            <v>8.5869518895316838E-6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5.3105542724530866E-7</v>
          </cell>
          <cell r="K707">
            <v>1.225981737108806E-6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1.21019740181524E-4</v>
          </cell>
          <cell r="K708">
            <v>1.3378426110569801E-4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1.21019740181524E-4</v>
          </cell>
          <cell r="K709">
            <v>2.2114789186487475E-4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0.72528859619420982</v>
          </cell>
          <cell r="J710">
            <v>0.7161855628772249</v>
          </cell>
          <cell r="K710">
            <v>0.73077042788726598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0.72528859619420982</v>
          </cell>
          <cell r="J711">
            <v>0.7161855628772249</v>
          </cell>
          <cell r="K711">
            <v>0.73077042788726598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1.66025096543119E-8</v>
          </cell>
          <cell r="J712">
            <v>1.06909526731087E-8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7.5298947259136703E-2</v>
          </cell>
          <cell r="J713">
            <v>7.5298957950089396E-2</v>
          </cell>
          <cell r="K713">
            <v>7.5298957950089396E-2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5.5031985270286715E-2</v>
          </cell>
          <cell r="J714">
            <v>7.0190147423994195E-2</v>
          </cell>
          <cell r="K714">
            <v>0.64859767056440187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5.5031985270286701E-2</v>
          </cell>
          <cell r="J715">
            <v>7.0190147423994181E-2</v>
          </cell>
          <cell r="K715">
            <v>0.64859767056440154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6.1538474699509675E-2</v>
          </cell>
          <cell r="J716">
            <v>7.84887952832094E-2</v>
          </cell>
          <cell r="K716">
            <v>0.72528197249514137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6.1538474699509675E-2</v>
          </cell>
          <cell r="J717">
            <v>7.84887952832094E-2</v>
          </cell>
          <cell r="K717">
            <v>0.72528197249514137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1.77938474637407E-2</v>
          </cell>
          <cell r="J718">
            <v>5.0650600659771297E-2</v>
          </cell>
          <cell r="K718">
            <v>0.17613269570496301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2.9540441483830445E-2</v>
          </cell>
          <cell r="J719">
            <v>7.0178605719453974E-2</v>
          </cell>
          <cell r="K719">
            <v>0.20465680952879448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1.6143676604969369E-2</v>
          </cell>
          <cell r="J720">
            <v>1.0681215049331306E-2</v>
          </cell>
          <cell r="K720">
            <v>1.8632766847134535E-2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1.6143676604969383E-2</v>
          </cell>
          <cell r="J721">
            <v>1.0681215049331326E-2</v>
          </cell>
          <cell r="K721">
            <v>1.8632766847134555E-2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1.7852731137804431E-2</v>
          </cell>
          <cell r="J722">
            <v>1.1811985727430686E-2</v>
          </cell>
          <cell r="K722">
            <v>2.0605324685334821E-2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1.7852731137804431E-2</v>
          </cell>
          <cell r="J723">
            <v>1.1811985727430686E-2</v>
          </cell>
          <cell r="K723">
            <v>2.0605324685334821E-2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4.7645809629912996E-3</v>
          </cell>
          <cell r="J724">
            <v>5.1429848591983598E-3</v>
          </cell>
          <cell r="K724">
            <v>8.5977844213127805E-3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9.0735329280922893E-3</v>
          </cell>
          <cell r="J725">
            <v>9.922674726801169E-3</v>
          </cell>
          <cell r="K725">
            <v>1.2013122185017653E-2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1.2575918091539578E-5</v>
          </cell>
          <cell r="K726">
            <v>1.2916485629718005E-5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1.4795197754752449E-5</v>
          </cell>
          <cell r="K727">
            <v>1.5195865446727074E-5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9.6219142854237903E-7</v>
          </cell>
          <cell r="K728">
            <v>1.2416009668522001E-8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9.6219142854237903E-7</v>
          </cell>
          <cell r="K729">
            <v>9.7460743821090108E-7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2.6243805587565505E-4</v>
          </cell>
          <cell r="J730">
            <v>2.5032497360554944E-4</v>
          </cell>
          <cell r="K730">
            <v>2.3370874089126349E-4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2.6243805587565505E-4</v>
          </cell>
          <cell r="J731">
            <v>2.5032497360554944E-4</v>
          </cell>
          <cell r="K731">
            <v>2.3370874089126349E-4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3.2804223564795922E-4</v>
          </cell>
          <cell r="J732">
            <v>3.1290092793987876E-4</v>
          </cell>
          <cell r="K732">
            <v>2.9212991237245072E-4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3.2804223564795922E-4</v>
          </cell>
          <cell r="J733">
            <v>3.1290092793987876E-4</v>
          </cell>
          <cell r="K733">
            <v>2.9212991237245072E-4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1.15153995040305E-8</v>
          </cell>
          <cell r="J734">
            <v>1.7514828743470599E-8</v>
          </cell>
          <cell r="K734">
            <v>5.6689197489623801E-8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2.34933650365738E-5</v>
          </cell>
          <cell r="J735">
            <v>2.3510031219945202E-5</v>
          </cell>
          <cell r="K735">
            <v>2.3544578074490999E-5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2240.4529553464899</v>
          </cell>
          <cell r="J736">
            <v>2288.7594572550502</v>
          </cell>
          <cell r="K736">
            <v>2340.5634572173499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48.285624146952351</v>
          </cell>
          <cell r="J737">
            <v>49.326712440841646</v>
          </cell>
          <cell r="K737">
            <v>50.443177957270386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24.142812018819924</v>
          </cell>
          <cell r="J738">
            <v>24.66335622042082</v>
          </cell>
          <cell r="K738">
            <v>25.221588978635207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24.142812018819924</v>
          </cell>
          <cell r="J739">
            <v>24.66335622042082</v>
          </cell>
          <cell r="K739">
            <v>25.221588978635207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1.0743420506814805E-2</v>
          </cell>
          <cell r="E4">
            <v>16.81434060542739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9.0311978074180549E-4</v>
          </cell>
          <cell r="E5">
            <v>1.2511494385192687E-2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2.9006546846707202E-3</v>
          </cell>
          <cell r="E6">
            <v>12.047933115772846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6.9378828644495487E-3</v>
          </cell>
          <cell r="E7">
            <v>4.7538952340280609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653.90740202814266</v>
          </cell>
          <cell r="E8">
            <v>2196.8002275230165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729.42040532327258</v>
          </cell>
          <cell r="E9">
            <v>2096.0715884688016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9.18568900345995E-2</v>
          </cell>
          <cell r="E10">
            <v>351.92670836106396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0.11231744400757231</v>
          </cell>
          <cell r="E11">
            <v>38.014082957337585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438.51421332867932</v>
          </cell>
          <cell r="E12">
            <v>804.77359758220928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3.6757820608345433E-2</v>
          </cell>
          <cell r="E13">
            <v>0.23182988275486649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9.1045215106178787E-3</v>
          </cell>
          <cell r="E14">
            <v>1031.8744666983953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7.7929308548318936E-3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3.8297266387882835E-4</v>
          </cell>
          <cell r="E16">
            <v>1.3472326781415449E-3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1822.0918744422445</v>
          </cell>
          <cell r="E17">
            <v>6519.7011458804163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833.33324900664979</v>
          </cell>
          <cell r="E18">
            <v>1904.7619694937277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833.33324900664979</v>
          </cell>
          <cell r="E19">
            <v>1904.7619694937277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988.74788201508977</v>
          </cell>
          <cell r="E20">
            <v>4598.124835781241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988.74788201508977</v>
          </cell>
          <cell r="E21">
            <v>4598.124835781241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17.0317854666336</v>
          </cell>
          <cell r="I4">
            <v>30.6284295501532</v>
          </cell>
          <cell r="J4">
            <v>78.811900106619106</v>
          </cell>
        </row>
        <row r="5">
          <cell r="A5" t="str">
            <v>EXPELC_DE</v>
          </cell>
          <cell r="C5" t="str">
            <v>ELC_E-DE</v>
          </cell>
          <cell r="H5">
            <v>1.1171329158377071E-4</v>
          </cell>
          <cell r="I5">
            <v>2.9097937880744187E-4</v>
          </cell>
          <cell r="J5">
            <v>7.5724067705338456E-5</v>
          </cell>
        </row>
        <row r="6">
          <cell r="A6" t="str">
            <v>IMPDSL</v>
          </cell>
          <cell r="C6" t="str">
            <v>DSL</v>
          </cell>
          <cell r="H6">
            <v>39.956467701676267</v>
          </cell>
          <cell r="I6">
            <v>21.184736473795521</v>
          </cell>
        </row>
        <row r="7">
          <cell r="A7" t="str">
            <v>IMPH2</v>
          </cell>
          <cell r="C7" t="str">
            <v>H2</v>
          </cell>
          <cell r="I7">
            <v>0.29967135366121012</v>
          </cell>
          <cell r="J7">
            <v>0.29967144652224964</v>
          </cell>
        </row>
        <row r="8">
          <cell r="A8" t="str">
            <v>IMPELC_AT</v>
          </cell>
          <cell r="C8" t="str">
            <v>ELC_I-AT</v>
          </cell>
          <cell r="H8">
            <v>6.0159052412057408</v>
          </cell>
          <cell r="I8">
            <v>6.1778739877242748</v>
          </cell>
          <cell r="J8">
            <v>8.8365496691589538</v>
          </cell>
        </row>
        <row r="9">
          <cell r="A9" t="str">
            <v>IMPELC_AT</v>
          </cell>
          <cell r="C9" t="str">
            <v>ELCS</v>
          </cell>
          <cell r="H9">
            <v>6.0159052412057408</v>
          </cell>
          <cell r="I9">
            <v>6.1778739877242748</v>
          </cell>
          <cell r="J9">
            <v>8.8365496691589538</v>
          </cell>
        </row>
        <row r="10">
          <cell r="A10" t="str">
            <v>IMPELC_FR</v>
          </cell>
          <cell r="C10" t="str">
            <v>ELC_I-FR</v>
          </cell>
          <cell r="H10">
            <v>17.3441991496626</v>
          </cell>
          <cell r="I10">
            <v>10.763931028280263</v>
          </cell>
          <cell r="J10">
            <v>10.354723610939548</v>
          </cell>
        </row>
        <row r="11">
          <cell r="A11" t="str">
            <v>IMPELC_FR</v>
          </cell>
          <cell r="C11" t="str">
            <v>ELCS</v>
          </cell>
          <cell r="H11">
            <v>17.3441991496626</v>
          </cell>
          <cell r="I11">
            <v>10.763931028280263</v>
          </cell>
          <cell r="J11">
            <v>10.354723610939548</v>
          </cell>
        </row>
        <row r="12">
          <cell r="A12" t="str">
            <v>RNWHYDR1</v>
          </cell>
          <cell r="C12" t="str">
            <v>HYDR</v>
          </cell>
          <cell r="H12">
            <v>63.39343409236654</v>
          </cell>
          <cell r="I12">
            <v>62.3623676514528</v>
          </cell>
          <cell r="J12">
            <v>60.482273607774424</v>
          </cell>
        </row>
        <row r="13">
          <cell r="A13" t="str">
            <v>EXPELC_IT</v>
          </cell>
          <cell r="C13" t="str">
            <v>ELC_E-IT</v>
          </cell>
          <cell r="H13">
            <v>35.200337755076148</v>
          </cell>
          <cell r="I13">
            <v>22.619774608333774</v>
          </cell>
          <cell r="J13">
            <v>15.704967397795416</v>
          </cell>
        </row>
        <row r="14">
          <cell r="A14" t="str">
            <v>IMPLNG</v>
          </cell>
          <cell r="C14" t="str">
            <v>LBIO</v>
          </cell>
          <cell r="H14">
            <v>2.1356061685594141</v>
          </cell>
          <cell r="I14">
            <v>2.1356177332300277</v>
          </cell>
          <cell r="J14">
            <v>2.1356371541117505</v>
          </cell>
        </row>
        <row r="15">
          <cell r="A15" t="str">
            <v>IMPLNG</v>
          </cell>
          <cell r="C15" t="str">
            <v>LNGA</v>
          </cell>
          <cell r="H15">
            <v>9.3728771485903232E-5</v>
          </cell>
          <cell r="I15">
            <v>8.215004786223378E-5</v>
          </cell>
          <cell r="J15">
            <v>6.2724114696727692E-5</v>
          </cell>
        </row>
        <row r="16">
          <cell r="A16" t="str">
            <v>IMPURN1</v>
          </cell>
          <cell r="C16" t="str">
            <v>URN</v>
          </cell>
          <cell r="H16">
            <v>167.60363837156825</v>
          </cell>
          <cell r="I16">
            <v>98.945498934149086</v>
          </cell>
        </row>
        <row r="17">
          <cell r="A17" t="str">
            <v>EXPELC_AT</v>
          </cell>
          <cell r="C17" t="str">
            <v>ELC_E-AT</v>
          </cell>
          <cell r="H17">
            <v>2.1803108254575278E-5</v>
          </cell>
          <cell r="I17">
            <v>2.1808537773318585E-5</v>
          </cell>
          <cell r="J17">
            <v>1.1339543349117529E-5</v>
          </cell>
        </row>
        <row r="18">
          <cell r="A18" t="str">
            <v>EXPELC_FR</v>
          </cell>
          <cell r="C18" t="str">
            <v>ELC_E-FR</v>
          </cell>
          <cell r="H18">
            <v>7.2577294089334231E-5</v>
          </cell>
          <cell r="I18">
            <v>3.2138274122218508E-4</v>
          </cell>
          <cell r="J18">
            <v>1.5350008328974705E-4</v>
          </cell>
        </row>
        <row r="19">
          <cell r="A19" t="str">
            <v>RNWWND1</v>
          </cell>
          <cell r="C19" t="str">
            <v>WND</v>
          </cell>
          <cell r="H19">
            <v>0.87512134143893217</v>
          </cell>
          <cell r="I19">
            <v>0.87512134909963568</v>
          </cell>
          <cell r="J19">
            <v>0.87512143218809579</v>
          </cell>
        </row>
        <row r="20">
          <cell r="A20" t="str">
            <v>RNWWND2</v>
          </cell>
          <cell r="C20" t="str">
            <v>WND</v>
          </cell>
          <cell r="H20">
            <v>2.3070786679797983</v>
          </cell>
          <cell r="I20">
            <v>2.3070791755922326</v>
          </cell>
          <cell r="J20">
            <v>2.3070798027867676</v>
          </cell>
        </row>
        <row r="21">
          <cell r="A21" t="str">
            <v>RNWMNR1</v>
          </cell>
          <cell r="C21" t="str">
            <v>MNR</v>
          </cell>
          <cell r="H21">
            <v>12.540425504546596</v>
          </cell>
          <cell r="I21">
            <v>12.540425185975627</v>
          </cell>
          <cell r="J21">
            <v>12.540425449671057</v>
          </cell>
        </row>
        <row r="22">
          <cell r="A22" t="str">
            <v>RNWWND3</v>
          </cell>
          <cell r="C22" t="str">
            <v>WND</v>
          </cell>
          <cell r="H22">
            <v>0.45336210713411129</v>
          </cell>
          <cell r="I22">
            <v>4.0168683337280884</v>
          </cell>
          <cell r="J22">
            <v>6.1741546111881105</v>
          </cell>
        </row>
        <row r="23">
          <cell r="A23" t="str">
            <v>RNWMNR2</v>
          </cell>
          <cell r="C23" t="str">
            <v>MNR</v>
          </cell>
          <cell r="I23">
            <v>1.9685112440559429</v>
          </cell>
          <cell r="J23">
            <v>6.2702125875067534</v>
          </cell>
        </row>
        <row r="24">
          <cell r="A24" t="str">
            <v>RNWWND4</v>
          </cell>
          <cell r="C24" t="str">
            <v>WND</v>
          </cell>
          <cell r="H24">
            <v>2.2996686264318159E-4</v>
          </cell>
          <cell r="I24">
            <v>1.858897546402847E-4</v>
          </cell>
          <cell r="J24">
            <v>8.0443791154140385E-4</v>
          </cell>
        </row>
        <row r="25">
          <cell r="A25" t="str">
            <v>RNWMNR3</v>
          </cell>
          <cell r="C25" t="str">
            <v>MNR</v>
          </cell>
          <cell r="I25">
            <v>9.6836405973251563E-5</v>
          </cell>
          <cell r="J25">
            <v>8.0064569599968909</v>
          </cell>
        </row>
        <row r="26">
          <cell r="A26" t="str">
            <v>IMPLFO1</v>
          </cell>
          <cell r="C26" t="str">
            <v>LFO</v>
          </cell>
          <cell r="H26">
            <v>28.241914430913098</v>
          </cell>
          <cell r="I26">
            <v>14.230078013461341</v>
          </cell>
        </row>
        <row r="27">
          <cell r="A27" t="str">
            <v>RNWWND5</v>
          </cell>
          <cell r="C27" t="str">
            <v>WND</v>
          </cell>
          <cell r="H27">
            <v>1.0382480763914212E-4</v>
          </cell>
          <cell r="I27">
            <v>7.9853797606575726E-5</v>
          </cell>
          <cell r="J27">
            <v>7.52141401208568E-5</v>
          </cell>
        </row>
        <row r="28">
          <cell r="A28" t="str">
            <v>IMPBNGA</v>
          </cell>
          <cell r="C28" t="str">
            <v>BIO</v>
          </cell>
          <cell r="H28">
            <v>1.8620228175382931</v>
          </cell>
          <cell r="I28">
            <v>3.2507661106324424</v>
          </cell>
          <cell r="J28">
            <v>8.6216911612155747E-5</v>
          </cell>
        </row>
        <row r="29">
          <cell r="A29" t="str">
            <v>RNWGEO1</v>
          </cell>
          <cell r="C29" t="str">
            <v>GEO</v>
          </cell>
          <cell r="I29">
            <v>5.5205229706675515E-3</v>
          </cell>
          <cell r="J29">
            <v>21.359998206297345</v>
          </cell>
        </row>
        <row r="30">
          <cell r="A30" t="str">
            <v>RNWGEO2</v>
          </cell>
          <cell r="C30" t="str">
            <v>GEO</v>
          </cell>
          <cell r="I30">
            <v>9.6626917488947916E-4</v>
          </cell>
          <cell r="J30">
            <v>22.884179696859345</v>
          </cell>
        </row>
        <row r="31">
          <cell r="A31" t="str">
            <v>IMPKERintl</v>
          </cell>
          <cell r="C31" t="str">
            <v>KERintl</v>
          </cell>
          <cell r="H31">
            <v>68.127141861163693</v>
          </cell>
          <cell r="I31">
            <v>52.509653241215297</v>
          </cell>
        </row>
        <row r="32">
          <cell r="A32" t="str">
            <v>RNWGEO3</v>
          </cell>
          <cell r="C32" t="str">
            <v>GEO</v>
          </cell>
          <cell r="I32">
            <v>3.3416651297415415E-4</v>
          </cell>
          <cell r="J32">
            <v>4.9177856587835124E-4</v>
          </cell>
        </row>
        <row r="33">
          <cell r="A33" t="str">
            <v>RNWGEO4</v>
          </cell>
          <cell r="C33" t="str">
            <v>GEO</v>
          </cell>
          <cell r="I33">
            <v>2.3847997946529212E-4</v>
          </cell>
          <cell r="J33">
            <v>3.2355101927281841E-4</v>
          </cell>
        </row>
        <row r="34">
          <cell r="A34" t="str">
            <v>RNWGEO5</v>
          </cell>
          <cell r="C34" t="str">
            <v>GEO</v>
          </cell>
          <cell r="I34">
            <v>1.8613499389024652E-4</v>
          </cell>
          <cell r="J34">
            <v>2.3968711469445495E-4</v>
          </cell>
        </row>
        <row r="35">
          <cell r="A35" t="str">
            <v>IMPGSL</v>
          </cell>
          <cell r="C35" t="str">
            <v>GSL</v>
          </cell>
          <cell r="H35">
            <v>16.501315020021647</v>
          </cell>
          <cell r="I35">
            <v>7.6696255908696465</v>
          </cell>
        </row>
        <row r="36">
          <cell r="A36" t="str">
            <v>RNWWOD1</v>
          </cell>
          <cell r="C36" t="str">
            <v>WOD</v>
          </cell>
          <cell r="H36">
            <v>15.849139727206524</v>
          </cell>
          <cell r="I36">
            <v>16.266396700864433</v>
          </cell>
          <cell r="J36">
            <v>16.956994231215972</v>
          </cell>
        </row>
        <row r="37">
          <cell r="A37" t="str">
            <v>RNWWOD2</v>
          </cell>
          <cell r="C37" t="str">
            <v>WOD</v>
          </cell>
          <cell r="H37">
            <v>7.6690267522549851</v>
          </cell>
          <cell r="I37">
            <v>7.6690268061123446</v>
          </cell>
          <cell r="J37">
            <v>7.669026847221116</v>
          </cell>
        </row>
        <row r="38">
          <cell r="A38" t="str">
            <v>RNWWOD3</v>
          </cell>
          <cell r="C38" t="str">
            <v>WOD</v>
          </cell>
          <cell r="H38">
            <v>4.8053860657936882</v>
          </cell>
          <cell r="I38">
            <v>4.805386132099116</v>
          </cell>
          <cell r="J38">
            <v>4.8053861673221476</v>
          </cell>
        </row>
        <row r="39">
          <cell r="A39" t="str">
            <v>RNWWOD4</v>
          </cell>
          <cell r="C39" t="str">
            <v>WOD</v>
          </cell>
          <cell r="H39">
            <v>19.86925745545809</v>
          </cell>
          <cell r="I39">
            <v>19.869257634481432</v>
          </cell>
          <cell r="J39">
            <v>19.869257761853092</v>
          </cell>
        </row>
        <row r="40">
          <cell r="A40" t="str">
            <v>RNWWOD5</v>
          </cell>
          <cell r="C40" t="str">
            <v>WOD</v>
          </cell>
          <cell r="H40">
            <v>1.9633529600206632</v>
          </cell>
          <cell r="I40">
            <v>1.5460957735000249</v>
          </cell>
          <cell r="J40">
            <v>0.85549817495403868</v>
          </cell>
        </row>
        <row r="41">
          <cell r="A41" t="str">
            <v>RNNWWST1</v>
          </cell>
          <cell r="C41" t="str">
            <v>WSTNREN</v>
          </cell>
          <cell r="H41">
            <v>34.937583637108645</v>
          </cell>
          <cell r="I41">
            <v>35.403639034827073</v>
          </cell>
          <cell r="J41">
            <v>35.852894127031519</v>
          </cell>
        </row>
        <row r="42">
          <cell r="A42" t="str">
            <v>RNWSOL1</v>
          </cell>
          <cell r="C42" t="str">
            <v>SOL</v>
          </cell>
          <cell r="H42">
            <v>63.875248907666766</v>
          </cell>
          <cell r="I42">
            <v>93.321775214656739</v>
          </cell>
          <cell r="J42">
            <v>123.59812898269315</v>
          </cell>
        </row>
        <row r="43">
          <cell r="A43" t="str">
            <v>IMPHFO1</v>
          </cell>
          <cell r="C43" t="str">
            <v>HFO</v>
          </cell>
          <cell r="H43">
            <v>1.0676201077373232E-4</v>
          </cell>
          <cell r="I43">
            <v>3.8812616920277308E-4</v>
          </cell>
        </row>
        <row r="44">
          <cell r="A44" t="str">
            <v>RNWHYDD1</v>
          </cell>
          <cell r="C44" t="str">
            <v>HYDD</v>
          </cell>
          <cell r="H44">
            <v>71.924881303142513</v>
          </cell>
          <cell r="I44">
            <v>72.955947959382129</v>
          </cell>
          <cell r="J44">
            <v>74.836042114965323</v>
          </cell>
        </row>
        <row r="45">
          <cell r="A45" t="str">
            <v>IMPKER</v>
          </cell>
          <cell r="C45" t="str">
            <v>KER</v>
          </cell>
          <cell r="H45">
            <v>2.5881514218187309</v>
          </cell>
          <cell r="I45">
            <v>2.152157012554901</v>
          </cell>
        </row>
        <row r="46">
          <cell r="A46" t="str">
            <v>IMPBDS</v>
          </cell>
          <cell r="C46" t="str">
            <v>BDS</v>
          </cell>
          <cell r="H46">
            <v>4.0553748241150211</v>
          </cell>
          <cell r="I46">
            <v>4.0546688012646044</v>
          </cell>
          <cell r="J46">
            <v>6.8245540230643611</v>
          </cell>
        </row>
        <row r="47">
          <cell r="A47" t="str">
            <v>IMPCOA1</v>
          </cell>
          <cell r="C47" t="str">
            <v>COA</v>
          </cell>
          <cell r="H47">
            <v>7.624269233838792E-5</v>
          </cell>
          <cell r="I47">
            <v>2.5477775756180704E-4</v>
          </cell>
          <cell r="J47">
            <v>6.2873572181124671E-5</v>
          </cell>
        </row>
        <row r="48">
          <cell r="A48" t="str">
            <v>IMPETH</v>
          </cell>
          <cell r="C48" t="str">
            <v>ETH</v>
          </cell>
          <cell r="H48">
            <v>1.832319352410841</v>
          </cell>
          <cell r="I48">
            <v>0.44428209211391911</v>
          </cell>
          <cell r="J48">
            <v>0.92507679980647883</v>
          </cell>
        </row>
        <row r="49">
          <cell r="A49" t="str">
            <v>IMPELC_DE</v>
          </cell>
          <cell r="C49" t="str">
            <v>ELC_I-DE</v>
          </cell>
          <cell r="H49">
            <v>32.955143217738893</v>
          </cell>
          <cell r="I49">
            <v>26.87671137718943</v>
          </cell>
          <cell r="J49">
            <v>20.127153675507632</v>
          </cell>
        </row>
        <row r="50">
          <cell r="A50" t="str">
            <v>IMPELC_DE</v>
          </cell>
          <cell r="C50" t="str">
            <v>ELCS</v>
          </cell>
          <cell r="H50">
            <v>32.955143217738893</v>
          </cell>
          <cell r="I50">
            <v>26.87671137718943</v>
          </cell>
          <cell r="J50">
            <v>20.127153675507632</v>
          </cell>
        </row>
        <row r="51">
          <cell r="A51" t="str">
            <v>RNWWST1</v>
          </cell>
          <cell r="C51" t="str">
            <v>WSTREN</v>
          </cell>
          <cell r="H51">
            <v>37.453331179819834</v>
          </cell>
          <cell r="I51">
            <v>37.453333686346895</v>
          </cell>
          <cell r="J51">
            <v>37.453335651198977</v>
          </cell>
        </row>
        <row r="52">
          <cell r="A52" t="str">
            <v>IMPNGA1</v>
          </cell>
          <cell r="C52" t="str">
            <v>NGA</v>
          </cell>
          <cell r="H52">
            <v>48.722222269075218</v>
          </cell>
          <cell r="I52">
            <v>31.953950960433378</v>
          </cell>
          <cell r="J52">
            <v>19.726962726706638</v>
          </cell>
        </row>
        <row r="53">
          <cell r="A53" t="str">
            <v>IMPELC_IT</v>
          </cell>
          <cell r="C53" t="str">
            <v>ELC_I-IT</v>
          </cell>
          <cell r="H53">
            <v>2.4286666658058758E-5</v>
          </cell>
          <cell r="I53">
            <v>1.9213436964037667E-5</v>
          </cell>
          <cell r="J53">
            <v>1.6855801049033851E-5</v>
          </cell>
        </row>
        <row r="54">
          <cell r="A54" t="str">
            <v>IMPELC_IT</v>
          </cell>
          <cell r="C54" t="str">
            <v>ELCS</v>
          </cell>
          <cell r="H54">
            <v>2.4286666658058758E-5</v>
          </cell>
          <cell r="I54">
            <v>1.9213436964037667E-5</v>
          </cell>
          <cell r="J54">
            <v>1.6855801049033851E-5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1.2881740108826309</v>
          </cell>
          <cell r="I4">
            <v>1.388487933283765</v>
          </cell>
          <cell r="J4">
            <v>1.2217049552687345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1.2881740108826309</v>
          </cell>
          <cell r="I5">
            <v>1.388487933283765</v>
          </cell>
          <cell r="J5">
            <v>1.2217049552687345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8.1206421856918384E-5</v>
          </cell>
          <cell r="I6">
            <v>7.5073180940236119E-5</v>
          </cell>
          <cell r="J6">
            <v>1.7814551973173497E-4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8.1287628278775301E-5</v>
          </cell>
          <cell r="I7">
            <v>7.5148254121176419E-5</v>
          </cell>
          <cell r="J7">
            <v>1.7832366525146644E-4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8.125943531598484E-5</v>
          </cell>
          <cell r="I8">
            <v>7.5105958994052606E-5</v>
          </cell>
          <cell r="J8">
            <v>1.7825407796927039E-4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1.1679502705105699E-8</v>
          </cell>
          <cell r="I9">
            <v>1.3022906860705501E-5</v>
          </cell>
          <cell r="J9">
            <v>1.8333636369189199E-5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2.08223935816943E-5</v>
          </cell>
          <cell r="I10">
            <v>1.5415933668725301E-5</v>
          </cell>
          <cell r="J10">
            <v>2.7789736823489098E-5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4.7095626228799503</v>
          </cell>
          <cell r="I11">
            <v>2.73184517501431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6.0687500859534588E-2</v>
          </cell>
          <cell r="I12">
            <v>3.5202601532754493E-2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6.3901799496335773E-2</v>
          </cell>
          <cell r="I13">
            <v>3.7067098711184743E-2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1.5428439522482833E-2</v>
          </cell>
          <cell r="I15">
            <v>2.7326837074118059E-3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23.088465196306</v>
          </cell>
          <cell r="I16">
            <v>27.731939163216801</v>
          </cell>
          <cell r="J16">
            <v>29.4379631424693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0.8350597363053075</v>
          </cell>
          <cell r="I17">
            <v>1.0147759222853436</v>
          </cell>
          <cell r="J17">
            <v>1.117977032784901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0.40936995028911283</v>
          </cell>
          <cell r="I18">
            <v>0.49170104899320544</v>
          </cell>
          <cell r="J18">
            <v>0.52194970110761174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0.8350597363053075</v>
          </cell>
          <cell r="I19">
            <v>1.0147759222853436</v>
          </cell>
          <cell r="J19">
            <v>1.117977032784901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2.7390996043544499E-2</v>
          </cell>
          <cell r="I20">
            <v>3.0564265555179399E-2</v>
          </cell>
          <cell r="J20">
            <v>4.79209172091258E-2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6.0834055947241707E-2</v>
          </cell>
          <cell r="I21">
            <v>7.3925485986821096E-2</v>
          </cell>
          <cell r="J21">
            <v>8.1688668546740575E-2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3.102353724108847</v>
          </cell>
          <cell r="I22">
            <v>3.1023538951900327</v>
          </cell>
          <cell r="J22">
            <v>3.1023542120846033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3.102353724108847</v>
          </cell>
          <cell r="I23">
            <v>3.1023538951900327</v>
          </cell>
          <cell r="J23">
            <v>3.1023542120846033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4.1712318979614746</v>
          </cell>
          <cell r="I24">
            <v>4.1595806415955767</v>
          </cell>
          <cell r="J24">
            <v>4.1364722827794695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6.9452044077117206E-2</v>
          </cell>
          <cell r="I25">
            <v>0.115145711786951</v>
          </cell>
          <cell r="J25">
            <v>9.8642421717542506E-2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0.21858746974183976</v>
          </cell>
          <cell r="I26">
            <v>0.21745186684798498</v>
          </cell>
          <cell r="J26">
            <v>0.21158487475291232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1.3320146880571408E-4</v>
          </cell>
          <cell r="I27">
            <v>1.8261926332475132E-4</v>
          </cell>
          <cell r="J27">
            <v>7.0220911027823969E-5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7.463330198280549E-5</v>
          </cell>
          <cell r="I28">
            <v>6.8061196478494062E-5</v>
          </cell>
          <cell r="J28">
            <v>3.2017531677182941E-5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2.0769878146829549E-4</v>
          </cell>
          <cell r="I29">
            <v>2.5057628957650716E-4</v>
          </cell>
          <cell r="J29">
            <v>1.0213574279060869E-4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1.2270650910106837</v>
          </cell>
          <cell r="I30">
            <v>1.174505263774452</v>
          </cell>
          <cell r="J30">
            <v>0.89819961126898562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2.6543950869416655</v>
          </cell>
          <cell r="I31">
            <v>2.4857889116137373</v>
          </cell>
          <cell r="J31">
            <v>1.8107566755152547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2.5694865385776301E-2</v>
          </cell>
          <cell r="I32">
            <v>4.6214845398201199E-2</v>
          </cell>
          <cell r="J32">
            <v>1.9220664113959101E-2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8.3871217546398813E-2</v>
          </cell>
          <cell r="I33">
            <v>8.1490574062220489E-2</v>
          </cell>
          <cell r="J33">
            <v>6.3629095023711169E-2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3.5341457763968052</v>
          </cell>
          <cell r="I34">
            <v>2.8064821394988888</v>
          </cell>
          <cell r="J34">
            <v>1.5418114261738709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4.8571743240419627</v>
          </cell>
          <cell r="I35">
            <v>3.8337158358486216</v>
          </cell>
          <cell r="J35">
            <v>2.049004504293372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0.14337894257854999</v>
          </cell>
          <cell r="I36">
            <v>7.9206646920448404E-2</v>
          </cell>
          <cell r="J36">
            <v>6.6474188454290102E-3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0.2855192825385261</v>
          </cell>
          <cell r="I37">
            <v>0.22673716142752395</v>
          </cell>
          <cell r="J37">
            <v>0.12477885522116713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0.20713742738849977</v>
          </cell>
          <cell r="J38">
            <v>0.24141164442244503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0.20922972463484812</v>
          </cell>
          <cell r="J39">
            <v>0.24385014588125778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2.0510525920005801E-7</v>
          </cell>
          <cell r="I40">
            <v>2.9110972937623499E-2</v>
          </cell>
          <cell r="J40">
            <v>2.8662297308622298E-6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2.7167998704757002E-7</v>
          </cell>
          <cell r="I41">
            <v>2.9111244617610499E-2</v>
          </cell>
          <cell r="J41">
            <v>2.9114110847341401E-2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6.1500317404751321</v>
          </cell>
          <cell r="I42">
            <v>5.201141378998976</v>
          </cell>
          <cell r="J42">
            <v>3.4149080822270239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9.0938391392885691</v>
          </cell>
          <cell r="I43">
            <v>7.6558423813419312</v>
          </cell>
          <cell r="J43">
            <v>4.9125864505189876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0.29953679104029401</v>
          </cell>
          <cell r="I44">
            <v>0.137624540081107</v>
          </cell>
          <cell r="J44">
            <v>7.0209827593887303E-2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0.47920900170215008</v>
          </cell>
          <cell r="I45">
            <v>0.44432234081687277</v>
          </cell>
          <cell r="J45">
            <v>0.29679097270118965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6.167077566856781</v>
          </cell>
          <cell r="I46">
            <v>7.1833038842212895</v>
          </cell>
          <cell r="J46">
            <v>11.294828313442572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6.167077566856781</v>
          </cell>
          <cell r="I47">
            <v>7.1833038842212895</v>
          </cell>
          <cell r="J47">
            <v>11.294828313442572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6.5654211993083349</v>
          </cell>
          <cell r="I48">
            <v>7.6071976276820079</v>
          </cell>
          <cell r="J48">
            <v>11.889292961518487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0.238903637460952</v>
          </cell>
          <cell r="I49">
            <v>0.185805116093435</v>
          </cell>
          <cell r="J49">
            <v>0.53759822484731801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0.35019914493651311</v>
          </cell>
          <cell r="I50">
            <v>0.4260232524523746</v>
          </cell>
          <cell r="J50">
            <v>0.76857940114249323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0.17622946927463073</v>
          </cell>
          <cell r="I51">
            <v>0.31242256476667984</v>
          </cell>
          <cell r="J51">
            <v>0.39096164793281601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0.17640569874390535</v>
          </cell>
          <cell r="I52">
            <v>0.31273498733144678</v>
          </cell>
          <cell r="J52">
            <v>0.39135260958074886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0.17622961784838626</v>
          </cell>
          <cell r="I53">
            <v>0.31242263205599341</v>
          </cell>
          <cell r="J53">
            <v>0.3909617711821976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1.8976194274035699E-2</v>
          </cell>
          <cell r="I54">
            <v>2.9618406812413699E-2</v>
          </cell>
          <cell r="J54">
            <v>3.68406385812554E-2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4.6005727218488585E-2</v>
          </cell>
          <cell r="I55">
            <v>6.0137118641823591E-2</v>
          </cell>
          <cell r="J55">
            <v>6.6357173822727461E-2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0.13575969885317377</v>
          </cell>
          <cell r="I56">
            <v>0.14270729559948653</v>
          </cell>
          <cell r="J56">
            <v>0.15260018851626778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6.0079338473465036</v>
          </cell>
          <cell r="I57">
            <v>6.2748961449076823</v>
          </cell>
          <cell r="J57">
            <v>5.7821405683120561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2.1623937916344054</v>
          </cell>
          <cell r="I58">
            <v>2.3124924098019064</v>
          </cell>
          <cell r="J58">
            <v>2.2069362987444885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2.1002200478104109</v>
          </cell>
          <cell r="I59">
            <v>1.9071545897612241</v>
          </cell>
          <cell r="J59">
            <v>2.6936237820470086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0.27941292690371383</v>
          </cell>
          <cell r="I60">
            <v>0.30849886232908558</v>
          </cell>
          <cell r="J60">
            <v>0.33547422605124305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11.698704972136149</v>
          </cell>
          <cell r="I61">
            <v>11.939492629410633</v>
          </cell>
          <cell r="J61">
            <v>12.096338292637986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6.7593472474982401E-8</v>
          </cell>
          <cell r="I62"/>
          <cell r="J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0.62767186877891401</v>
          </cell>
          <cell r="I63">
            <v>0.62767186877891401</v>
          </cell>
          <cell r="J63">
            <v>0.62767186877891401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1.7224178538677919E-4</v>
          </cell>
          <cell r="I64">
            <v>1.276870329571799E-4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0.24755816301877306</v>
          </cell>
          <cell r="I65">
            <v>0.10935703848378542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0.24773024090235518</v>
          </cell>
          <cell r="I66">
            <v>0.10948463262197482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60.665006051169748</v>
          </cell>
          <cell r="I67">
            <v>60.631838552642265</v>
          </cell>
          <cell r="J67">
            <v>59.242549302779842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6.8348053525534294</v>
          </cell>
          <cell r="I68">
            <v>6.9637900244032824</v>
          </cell>
          <cell r="J68">
            <v>8.4741347710610242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6.1500317404751321</v>
          </cell>
          <cell r="I69">
            <v>5.201141378998976</v>
          </cell>
          <cell r="J69">
            <v>3.4149080822270239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6.6110898314800925</v>
          </cell>
          <cell r="I70">
            <v>7.0472697790921197</v>
          </cell>
          <cell r="J70">
            <v>6.5434606566909066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0.22505410359375827</v>
          </cell>
          <cell r="I71">
            <v>0.18667836205438032</v>
          </cell>
          <cell r="J71">
            <v>0.14509461021101919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18.459596633772325</v>
          </cell>
          <cell r="I73">
            <v>23.886606045577992</v>
          </cell>
          <cell r="J73">
            <v>26.108018244897853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0.87579809376382556</v>
          </cell>
          <cell r="I74">
            <v>0.94920241181848708</v>
          </cell>
          <cell r="J74">
            <v>0.79557202328328691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0.86536898949428687</v>
          </cell>
          <cell r="I76">
            <v>1.0736686096923043</v>
          </cell>
          <cell r="J76">
            <v>1.3069813441223284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9.9055578273432623</v>
          </cell>
          <cell r="I77">
            <v>7.7033616284472402</v>
          </cell>
          <cell r="J77">
            <v>7.5844456168339409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3.7614392993731416</v>
          </cell>
          <cell r="I78">
            <v>4.7313935310918493</v>
          </cell>
          <cell r="J78">
            <v>4.6678713766453166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6.9762641793204727</v>
          </cell>
          <cell r="I80">
            <v>2.8887267814655977</v>
          </cell>
          <cell r="J80">
            <v>0.20206257680714065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7.4393504981790058E-5</v>
          </cell>
          <cell r="I81">
            <v>3.9877507327569838E-5</v>
          </cell>
          <cell r="J81">
            <v>5.7962724711105266E-5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9.0180375959871762E-5</v>
          </cell>
          <cell r="I82">
            <v>4.6916841054091954E-5</v>
          </cell>
          <cell r="J82">
            <v>6.432908480053488E-5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2.82998454874103E-6</v>
          </cell>
          <cell r="I83">
            <v>3.9200841790418098E-6</v>
          </cell>
          <cell r="J83">
            <v>6.7851707299565E-6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1.3648980573968596E-5</v>
          </cell>
          <cell r="I84">
            <v>4.2969760762379601E-6</v>
          </cell>
          <cell r="J84">
            <v>7.6880386061279701E-6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6.3516883490639985E-3</v>
          </cell>
          <cell r="I85">
            <v>0.24585582152262522</v>
          </cell>
          <cell r="J85">
            <v>0.27314884863416822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6.3517131124396532E-3</v>
          </cell>
          <cell r="I86">
            <v>0.24585583799139774</v>
          </cell>
          <cell r="J86">
            <v>0.27314886130401628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6.6134854446383101E-5</v>
          </cell>
          <cell r="I87">
            <v>8.9571925711619E-3</v>
          </cell>
          <cell r="J87">
            <v>1.03145399963865E-3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2.3821371731242238E-4</v>
          </cell>
          <cell r="I88">
            <v>9.1237692191731782E-3</v>
          </cell>
          <cell r="J88">
            <v>1.004189834508711E-2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1.010046296833518E-2</v>
          </cell>
          <cell r="I89">
            <v>1.5313325005017605E-3</v>
          </cell>
          <cell r="J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7.5339320176215803E-6</v>
          </cell>
          <cell r="I90">
            <v>2.710864578331501E-6</v>
          </cell>
          <cell r="J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1.6419873528873271E-3</v>
          </cell>
          <cell r="J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1.0108397952675879E-2</v>
          </cell>
          <cell r="I92">
            <v>3.1769888571245427E-3</v>
          </cell>
          <cell r="J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7.624269233838792E-5</v>
          </cell>
          <cell r="I93">
            <v>2.5477775756180704E-4</v>
          </cell>
          <cell r="J93">
            <v>6.2873572181124671E-5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7.0676975797685599E-3</v>
          </cell>
          <cell r="I94">
            <v>2.3617898125979499E-2</v>
          </cell>
          <cell r="J94">
            <v>5.8283801411902498E-3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7.624269233838792E-5</v>
          </cell>
          <cell r="I95">
            <v>2.5477775756180704E-4</v>
          </cell>
          <cell r="J95">
            <v>6.2873572181124671E-5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2.8168956225087483</v>
          </cell>
          <cell r="I96">
            <v>3.8201872588496686</v>
          </cell>
          <cell r="J96">
            <v>4.2470134200095337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2.8168956225087483</v>
          </cell>
          <cell r="I97">
            <v>3.8201872588496686</v>
          </cell>
          <cell r="J97">
            <v>4.2470134200095337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8.1505328594750098E-2</v>
          </cell>
          <cell r="I98">
            <v>7.0845460995845905E-2</v>
          </cell>
          <cell r="J98">
            <v>5.5497840073038998E-2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0.198912568095403</v>
          </cell>
          <cell r="I99">
            <v>0.26975802909124902</v>
          </cell>
          <cell r="J99">
            <v>0.29989769054939602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3.9103477501415459E-3</v>
          </cell>
          <cell r="I100">
            <v>3.2677787105600772E-3</v>
          </cell>
          <cell r="J100">
            <v>2.6051076580603091E-3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4.1738390568055788E-3</v>
          </cell>
          <cell r="I101">
            <v>3.4879717310665574E-3</v>
          </cell>
          <cell r="J101">
            <v>2.7546510307694368E-3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4.0749463350963303E-6</v>
          </cell>
          <cell r="I102">
            <v>2.5265019751782202E-4</v>
          </cell>
          <cell r="J102">
            <v>1.6765385172150699E-7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3.8067844856777555E-4</v>
          </cell>
          <cell r="I103">
            <v>2.567177274002364E-4</v>
          </cell>
          <cell r="J103">
            <v>1.8399227840881947E-4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3.1601201472316902E-3</v>
          </cell>
          <cell r="I107">
            <v>1.14024330569087E-3</v>
          </cell>
          <cell r="J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8.1559188875238286E-3</v>
          </cell>
          <cell r="I108">
            <v>3.7222509273624601E-3</v>
          </cell>
          <cell r="J108">
            <v>-3.3933833000487912E-10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3.8746411717991767</v>
          </cell>
          <cell r="I109">
            <v>4.0246118996707505</v>
          </cell>
          <cell r="J109">
            <v>6.6148171305995538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3.8746411717991767</v>
          </cell>
          <cell r="I110">
            <v>4.0246118996707505</v>
          </cell>
          <cell r="J110">
            <v>6.6148171305995538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0.108793432622716</v>
          </cell>
          <cell r="I111">
            <v>1.0589440922215899E-2</v>
          </cell>
          <cell r="J111">
            <v>0.22239927336232801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0.27360373019468698</v>
          </cell>
          <cell r="I112">
            <v>0.28419317111690301</v>
          </cell>
          <cell r="J112">
            <v>0.46709652338441798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0.15616639370214114</v>
          </cell>
          <cell r="I113">
            <v>0.43201015140850269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1.5215933531740025E-3</v>
          </cell>
          <cell r="I114">
            <v>0.20033604637325694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0.13724313029796995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1.2273375049186311E-4</v>
          </cell>
          <cell r="I116">
            <v>1.500689881321629E-4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1.0763274340788635E-4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0.15452206659847539</v>
          </cell>
          <cell r="I118">
            <v>7.3085893638213772E-2</v>
          </cell>
          <cell r="J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>
            <v>1.8844510076093845E-2</v>
          </cell>
          <cell r="J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1.6419873528873271E-3</v>
          </cell>
          <cell r="J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6.0093924196885108E-4</v>
          </cell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2.2529227164845401E-4</v>
          </cell>
          <cell r="I122">
            <v>3.3314915644261801E-3</v>
          </cell>
          <cell r="J122">
            <v>1.9817495432924801E-3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2.4639742095729298E-4</v>
          </cell>
          <cell r="I123">
            <v>3.4888204269708043E-3</v>
          </cell>
          <cell r="J123">
            <v>3.3770240238353202E-3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1.5215933531740025E-3</v>
          </cell>
          <cell r="I124">
            <v>0.20033604637325694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2.4111463396641695E-3</v>
          </cell>
          <cell r="I125">
            <v>0.29597533794906933</v>
          </cell>
          <cell r="J125">
            <v>0.35926748156451549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2.1811439514737164E-6</v>
          </cell>
          <cell r="I126">
            <v>1.0478398162581647E-4</v>
          </cell>
          <cell r="J126">
            <v>5.3845740063541038E-5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3.9363571489817884E-3</v>
          </cell>
          <cell r="I127">
            <v>0.4964162011035943</v>
          </cell>
          <cell r="J127">
            <v>0.35932160915950367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1.9327864413764111</v>
          </cell>
          <cell r="I128">
            <v>2.0688173921937048</v>
          </cell>
          <cell r="J128">
            <v>1.9750224650959498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1.9327864413764111</v>
          </cell>
          <cell r="I129">
            <v>2.0688173921937048</v>
          </cell>
          <cell r="J129">
            <v>1.9750224650959498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2.1623937916344054</v>
          </cell>
          <cell r="I130">
            <v>2.3124924098019064</v>
          </cell>
          <cell r="J130">
            <v>2.2069362987444885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1.7672472399125502E-2</v>
          </cell>
          <cell r="I131">
            <v>3.7584870534619098E-3</v>
          </cell>
          <cell r="J131">
            <v>1.9555386912197902E-2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0.18349223140383605</v>
          </cell>
          <cell r="I132">
            <v>0.17249341482601904</v>
          </cell>
          <cell r="J132">
            <v>0.18594890192915381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0.97659947237423694</v>
          </cell>
          <cell r="I133">
            <v>2.364501811495038</v>
          </cell>
          <cell r="J133">
            <v>4.4458352236008025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0.97659947237423694</v>
          </cell>
          <cell r="I134">
            <v>2.364501811495038</v>
          </cell>
          <cell r="J134">
            <v>4.4458352236008025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2.2285159780708999E-8</v>
          </cell>
          <cell r="I135">
            <v>9.8004189119966403E-2</v>
          </cell>
          <cell r="J135">
            <v>0.17870602260260501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6.8962720287851498E-2</v>
          </cell>
          <cell r="I136">
            <v>0.166966909407818</v>
          </cell>
          <cell r="J136">
            <v>0.31393652116576298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58.471328793442886</v>
          </cell>
          <cell r="I137">
            <v>57.964229760439352</v>
          </cell>
          <cell r="J137">
            <v>54.619802502467479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18.952197591854791</v>
          </cell>
          <cell r="I138">
            <v>19.120208090292685</v>
          </cell>
          <cell r="J138">
            <v>18.623846962972269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13.271105932895368</v>
          </cell>
          <cell r="I139">
            <v>13.261350876273537</v>
          </cell>
          <cell r="J139">
            <v>12.606445165181878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13.744983389446544</v>
          </cell>
          <cell r="I140">
            <v>13.496462011094023</v>
          </cell>
          <cell r="J140">
            <v>12.296106544177531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12.503041879246179</v>
          </cell>
          <cell r="I141">
            <v>12.086208782779112</v>
          </cell>
          <cell r="J141">
            <v>11.093403830135825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6.6110898314800925</v>
          </cell>
          <cell r="I142">
            <v>7.0472697790921197</v>
          </cell>
          <cell r="J142">
            <v>6.5434606566909066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6.6110898314800925</v>
          </cell>
          <cell r="I143">
            <v>7.0472697790921197</v>
          </cell>
          <cell r="J143">
            <v>6.5434606566909066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8.024530503341083</v>
          </cell>
          <cell r="I144">
            <v>8.5539650419389126</v>
          </cell>
          <cell r="J144">
            <v>7.9424423166963543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0.43990301008916699</v>
          </cell>
          <cell r="I145">
            <v>0.223726651084591</v>
          </cell>
          <cell r="J145">
            <v>0.50622256178934599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0.84970007069629994</v>
          </cell>
          <cell r="I146">
            <v>0.84970003595448373</v>
          </cell>
          <cell r="J146">
            <v>0.84970020385192235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1.6437000642255861E-4</v>
          </cell>
          <cell r="I147">
            <v>0.21413240950918197</v>
          </cell>
          <cell r="J147">
            <v>0.702745777398327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2.1151407556388086E-4</v>
          </cell>
          <cell r="I148">
            <v>0.25194511190426161</v>
          </cell>
          <cell r="J148">
            <v>0.7808703500423303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0.112528745623887</v>
          </cell>
          <cell r="I149">
            <v>6.8539836447940802E-2</v>
          </cell>
          <cell r="J149">
            <v>0.129874393390218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0.22973219192063368</v>
          </cell>
          <cell r="I150">
            <v>0.19908174420205821</v>
          </cell>
          <cell r="J150">
            <v>0.22721474246322443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1.2399191697851978E-4</v>
          </cell>
          <cell r="I151">
            <v>0.82627651856543805</v>
          </cell>
          <cell r="J151">
            <v>0.92350200938203075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18.81538570003293</v>
          </cell>
          <cell r="I152">
            <v>30.979098388020891</v>
          </cell>
          <cell r="J152">
            <v>33.278165154263576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18.815509691949895</v>
          </cell>
          <cell r="I153">
            <v>31.805374906586337</v>
          </cell>
          <cell r="J153">
            <v>34.201667163645581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328.32846694621003</v>
          </cell>
          <cell r="I154">
            <v>278.08893471683899</v>
          </cell>
          <cell r="J154"/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5.4023567499885408</v>
          </cell>
          <cell r="I155">
            <v>4.7320652935472634</v>
          </cell>
          <cell r="J155">
            <v>1.021827719857179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4.4549317089037981</v>
          </cell>
          <cell r="I156">
            <v>3.7732555592515378</v>
          </cell>
          <cell r="J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1.0391831622492687</v>
          </cell>
          <cell r="I157">
            <v>1.0391832275339628</v>
          </cell>
          <cell r="J157">
            <v>1.0391833449601293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0.38276905328554955</v>
          </cell>
          <cell r="I158">
            <v>0.50243800642761638</v>
          </cell>
          <cell r="J158">
            <v>0.44375636058052426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0.38238666661893056</v>
          </cell>
          <cell r="I159">
            <v>0.50193607035725896</v>
          </cell>
          <cell r="J159">
            <v>0.443313047532991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0.38238709016198158</v>
          </cell>
          <cell r="I160">
            <v>0.50193633943292149</v>
          </cell>
          <cell r="J160">
            <v>0.44331331238566701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1.2794008778428199E-2</v>
          </cell>
          <cell r="I161">
            <v>4.6621164148538799E-2</v>
          </cell>
          <cell r="J161">
            <v>3.1782351796710601E-2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6.4269677685657278E-2</v>
          </cell>
          <cell r="I162">
            <v>7.9499515002975488E-2</v>
          </cell>
          <cell r="J162">
            <v>7.1022568014449908E-2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0.53695026025467441</v>
          </cell>
          <cell r="I163">
            <v>0.53695773555944704</v>
          </cell>
          <cell r="J163">
            <v>0.31041949563575733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0.53695026025467441</v>
          </cell>
          <cell r="I164">
            <v>0.53695773555944704</v>
          </cell>
          <cell r="J164">
            <v>0.31041949563575733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/>
          <cell r="I165"/>
          <cell r="J165">
            <v>8.8259920012564898E-8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3.7917528825733897E-2</v>
          </cell>
          <cell r="I166">
            <v>3.7917528825733897E-2</v>
          </cell>
          <cell r="J166">
            <v>2.1920124079160899E-2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1.9941669733547536E-4</v>
          </cell>
          <cell r="I167">
            <v>2.3806784868706824E-3</v>
          </cell>
          <cell r="J167">
            <v>2.378163573915616E-3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1.9941669733547536E-4</v>
          </cell>
          <cell r="I168">
            <v>2.3806784868706824E-3</v>
          </cell>
          <cell r="J168">
            <v>2.378163573915616E-3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4.6233473404566004E-6</v>
          </cell>
          <cell r="I169">
            <v>1.6878471506135E-4</v>
          </cell>
          <cell r="J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1.5951936286990399E-5</v>
          </cell>
          <cell r="I170">
            <v>1.84736651348341E-4</v>
          </cell>
          <cell r="J170">
            <v>1.84736651348341E-4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0.20831787441521549</v>
          </cell>
          <cell r="I171">
            <v>0.20832533861457911</v>
          </cell>
          <cell r="J171">
            <v>0.12043660544541519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0.20831787441521549</v>
          </cell>
          <cell r="I172">
            <v>0.20832533861457911</v>
          </cell>
          <cell r="J172">
            <v>0.12043660544541519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/>
          <cell r="I173"/>
          <cell r="J173">
            <v>1.9310261514155E-8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1.47116296078159E-2</v>
          </cell>
          <cell r="I174">
            <v>1.47116296078159E-2</v>
          </cell>
          <cell r="J174">
            <v>8.5047593507635404E-3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9.878224087260234</v>
          </cell>
          <cell r="I175">
            <v>5.6208119649913915</v>
          </cell>
          <cell r="J175">
            <v>1.2409725292103229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687.57260622966498</v>
          </cell>
          <cell r="I176">
            <v>390.38724594522898</v>
          </cell>
          <cell r="J176">
            <v>85.818041331188795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12.191003656554345</v>
          </cell>
          <cell r="I177">
            <v>6.9217596798799326</v>
          </cell>
          <cell r="J177">
            <v>1.5215964775033484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0.29978907534382798</v>
          </cell>
          <cell r="I178">
            <v>3.5734602106883499E-2</v>
          </cell>
          <cell r="J178">
            <v>4.2795579000360302E-7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0.62984130205570166</v>
          </cell>
          <cell r="I179">
            <v>0.33552389241735869</v>
          </cell>
          <cell r="J179">
            <v>0.10092076640446929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1.3850874840447099E-4</v>
          </cell>
          <cell r="I180">
            <v>1.6077303976604044E-4</v>
          </cell>
          <cell r="J180">
            <v>3.0186000282527787E-4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1.3850874840447099E-4</v>
          </cell>
          <cell r="I181">
            <v>1.6077303976604044E-4</v>
          </cell>
          <cell r="J181">
            <v>3.0186000282527787E-4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3.0729026445001601E-5</v>
          </cell>
          <cell r="I182">
            <v>4.1645059549833298E-6</v>
          </cell>
          <cell r="J182">
            <v>5.78954843551548E-5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1.1655146401656985E-4</v>
          </cell>
          <cell r="I183">
            <v>3.4952266352220065E-5</v>
          </cell>
          <cell r="J183">
            <v>7.3891794553148388E-5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0.52086929099300483</v>
          </cell>
          <cell r="I184">
            <v>0.54587871262245746</v>
          </cell>
          <cell r="J184">
            <v>0.44442968468639399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0.52086929099300483</v>
          </cell>
          <cell r="I185">
            <v>0.54587871262245746</v>
          </cell>
          <cell r="J185">
            <v>0.44442968468639399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0.70617823392467838</v>
          </cell>
          <cell r="I186">
            <v>0.74008522268973853</v>
          </cell>
          <cell r="J186">
            <v>0.59807703694869452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1.68521557048502E-2</v>
          </cell>
          <cell r="I187">
            <v>2.1697197519344898E-2</v>
          </cell>
          <cell r="J187">
            <v>8.5652944156142195E-3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3.6784900798150097E-2</v>
          </cell>
          <cell r="I188">
            <v>3.8549366667240986E-2</v>
          </cell>
          <cell r="J188">
            <v>3.1440037177633565E-2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6.6167276788738175E-5</v>
          </cell>
          <cell r="I189">
            <v>6.8929540023035949E-5</v>
          </cell>
          <cell r="J189">
            <v>4.2185439276410308E-5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6.6167276788738175E-5</v>
          </cell>
          <cell r="I190">
            <v>6.8929540023035949E-5</v>
          </cell>
          <cell r="J190">
            <v>4.2185439276410308E-5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/>
          <cell r="I191"/>
          <cell r="J191">
            <v>1.16633461550346E-8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5.4892661873994001E-6</v>
          </cell>
          <cell r="I192">
            <v>5.4892661873994001E-6</v>
          </cell>
          <cell r="J192">
            <v>3.18501381039669E-6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2.3736787550052239E-5</v>
          </cell>
          <cell r="I193">
            <v>2.4990578163759269E-5</v>
          </cell>
          <cell r="J193">
            <v>1.5827057504098637E-5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2.3736787550052239E-5</v>
          </cell>
          <cell r="I194">
            <v>2.4990578163759269E-5</v>
          </cell>
          <cell r="J194">
            <v>1.5827057504098637E-5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/>
          <cell r="I195"/>
          <cell r="J195"/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2.1855293271857999E-6</v>
          </cell>
          <cell r="I196">
            <v>2.1855293271857999E-6</v>
          </cell>
          <cell r="J196">
            <v>1.26345676603534E-6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4.9122140948427629E-6</v>
          </cell>
          <cell r="I197">
            <v>4.936512943181427E-6</v>
          </cell>
          <cell r="J197">
            <v>2.9492898479379882E-6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4.9122140948427629E-6</v>
          </cell>
          <cell r="I198">
            <v>4.936512943181427E-6</v>
          </cell>
          <cell r="J198">
            <v>2.9492898479379882E-6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/>
          <cell r="I199"/>
          <cell r="J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5.2529863417923195E-7</v>
          </cell>
          <cell r="I200">
            <v>5.2529863417923195E-7</v>
          </cell>
          <cell r="J200">
            <v>3.0367568409501999E-7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31.538139388635312</v>
          </cell>
          <cell r="I201">
            <v>34.688987625401438</v>
          </cell>
          <cell r="J201">
            <v>34.104368418841148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9.2830671291878133</v>
          </cell>
          <cell r="I202">
            <v>9.6647258168608321</v>
          </cell>
          <cell r="J202">
            <v>8.5862174792779342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31.538139388635312</v>
          </cell>
          <cell r="I203">
            <v>34.688987625401438</v>
          </cell>
          <cell r="J203">
            <v>34.104368418841148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0.85074082126334505</v>
          </cell>
          <cell r="I204">
            <v>1.37211178180513</v>
          </cell>
          <cell r="J204">
            <v>1.3995671582090301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2.5478941004199123</v>
          </cell>
          <cell r="I205">
            <v>2.8024435104497201</v>
          </cell>
          <cell r="J205">
            <v>2.7552134885996242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12.783772808832843</v>
          </cell>
          <cell r="I206">
            <v>16.194123945389794</v>
          </cell>
          <cell r="J206">
            <v>19.383086557637668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5.4788296662346578</v>
          </cell>
          <cell r="I207">
            <v>6.5472398178600288</v>
          </cell>
          <cell r="J207">
            <v>7.0738330043939763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0.41987748101047601</v>
          </cell>
          <cell r="I208">
            <v>0.47131818906453099</v>
          </cell>
          <cell r="J208">
            <v>0.805165622004413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0.87376584023534631</v>
          </cell>
          <cell r="I209">
            <v>1.1068604792066592</v>
          </cell>
          <cell r="J209">
            <v>1.3248229517460575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6.5654211993083349</v>
          </cell>
          <cell r="I210">
            <v>7.6071976276820079</v>
          </cell>
          <cell r="J210">
            <v>11.889292961518487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8.0305502417907671E-3</v>
          </cell>
          <cell r="I211">
            <v>1.5380520000639811E-2</v>
          </cell>
          <cell r="J211">
            <v>2.7083561643616225E-2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6.5734517495501228</v>
          </cell>
          <cell r="I212">
            <v>7.6225781476826375</v>
          </cell>
          <cell r="J212">
            <v>11.916376533042206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7.7141328337928435E-7</v>
          </cell>
          <cell r="I213">
            <v>4.7005112432830447E-7</v>
          </cell>
          <cell r="J213">
            <v>2.5167295868576519E-7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7.7141328337928435E-7</v>
          </cell>
          <cell r="I214">
            <v>4.7005112432830447E-7</v>
          </cell>
          <cell r="J214">
            <v>2.5167295868576519E-7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/>
          <cell r="I215"/>
          <cell r="J215"/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6.3192574753629994E-8</v>
          </cell>
          <cell r="I216">
            <v>6.3192574753629994E-8</v>
          </cell>
          <cell r="J216">
            <v>4.0942973181000399E-8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18.469973347606487</v>
          </cell>
          <cell r="I217">
            <v>24.170219812538416</v>
          </cell>
          <cell r="J217">
            <v>26.278201619498642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18.469973347606487</v>
          </cell>
          <cell r="I218">
            <v>24.170219812538416</v>
          </cell>
          <cell r="J218">
            <v>26.278201619498642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5.2795253854091211</v>
          </cell>
          <cell r="I219">
            <v>6.5864913481160201</v>
          </cell>
          <cell r="J219">
            <v>6.7463792049467219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0.70196511254766802</v>
          </cell>
          <cell r="I220">
            <v>0.74663632479715503</v>
          </cell>
          <cell r="J220">
            <v>1.20435884696878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1.4271829323401672</v>
          </cell>
          <cell r="I221">
            <v>1.867643521389065</v>
          </cell>
          <cell r="J221">
            <v>2.0431453258639394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0.17101806580963508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4.2212822835007634E-4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0.17143998060500809</v>
          </cell>
          <cell r="I224"/>
          <cell r="J224"/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H225">
            <v>1.121577791065885E-2</v>
          </cell>
          <cell r="I225">
            <v>1.1299435411576238E-2</v>
          </cell>
          <cell r="J225">
            <v>9.4146224892721637E-3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H226">
            <v>1.1806082011219852E-2</v>
          </cell>
          <cell r="I226">
            <v>1.1894142538501313E-2</v>
          </cell>
          <cell r="J226">
            <v>9.9101289360759726E-3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H227">
            <v>1.6255727099637801E-3</v>
          </cell>
          <cell r="I227"/>
          <cell r="J227"/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H228">
            <v>4.2113907454712418E-3</v>
          </cell>
          <cell r="I228">
            <v>1.6255572606803871E-3</v>
          </cell>
          <cell r="J228">
            <v>6.8758015289224631E-4</v>
          </cell>
        </row>
        <row r="229">
          <cell r="A229" t="str">
            <v>ITOT-SWHSTG-SOL</v>
          </cell>
          <cell r="B229" t="str">
            <v>VAR_fout</v>
          </cell>
          <cell r="C229" t="str">
            <v>ITOT-SWHASOL</v>
          </cell>
          <cell r="H229">
            <v>3.2373185494281153E-5</v>
          </cell>
          <cell r="I229">
            <v>7.8008459228769896E-5</v>
          </cell>
          <cell r="J229">
            <v>5.4024341822570042E-5</v>
          </cell>
        </row>
        <row r="230">
          <cell r="A230" t="str">
            <v>ITOT-SWHSTG-SOL</v>
          </cell>
          <cell r="B230" t="str">
            <v>VAR_fin</v>
          </cell>
          <cell r="C230" t="str">
            <v>ITOT-SWHASOL</v>
          </cell>
          <cell r="H230">
            <v>3.790028185352793E-5</v>
          </cell>
          <cell r="I230">
            <v>9.0778849872618343E-5</v>
          </cell>
          <cell r="J230">
            <v>5.9399787172799015E-5</v>
          </cell>
        </row>
        <row r="231">
          <cell r="A231" t="str">
            <v>ITOT-SWHSTG-SOL</v>
          </cell>
          <cell r="B231" t="str">
            <v>VAR_ncap</v>
          </cell>
          <cell r="C231" t="str">
            <v>-</v>
          </cell>
          <cell r="H231">
            <v>1.9706297682603599E-6</v>
          </cell>
          <cell r="I231">
            <v>9.1662516044984696E-6</v>
          </cell>
          <cell r="J231">
            <v>2.4689550199460801E-8</v>
          </cell>
        </row>
        <row r="232">
          <cell r="A232" t="str">
            <v>ITOT-SWHSTG-SOL</v>
          </cell>
          <cell r="B232" t="str">
            <v>VAR_cap</v>
          </cell>
          <cell r="C232" t="str">
            <v>-</v>
          </cell>
          <cell r="H232">
            <v>4.0108472499779601E-6</v>
          </cell>
          <cell r="I232">
            <v>1.14563768681447E-5</v>
          </cell>
          <cell r="J232">
            <v>7.5105114796159202E-6</v>
          </cell>
        </row>
        <row r="233">
          <cell r="A233" t="str">
            <v>RHES-SHLTHCHPNGA</v>
          </cell>
          <cell r="B233" t="str">
            <v>VAR_fout</v>
          </cell>
          <cell r="C233" t="str">
            <v>RHES-SHLTHC-NGA</v>
          </cell>
          <cell r="H233"/>
          <cell r="I233"/>
          <cell r="J233"/>
        </row>
        <row r="234">
          <cell r="A234" t="str">
            <v>RHES-SHLTHCHPNGA</v>
          </cell>
          <cell r="B234" t="str">
            <v>VAR_fin</v>
          </cell>
          <cell r="C234" t="str">
            <v>RHESLTHCHPC</v>
          </cell>
          <cell r="H234"/>
          <cell r="I234"/>
          <cell r="J234"/>
        </row>
        <row r="235">
          <cell r="A235" t="str">
            <v>RHES-SHLTHCHPNGA</v>
          </cell>
          <cell r="B235" t="str">
            <v>VAR_fin</v>
          </cell>
          <cell r="C235" t="str">
            <v>RHES_LTH_CHPNGA_ON</v>
          </cell>
          <cell r="H235"/>
          <cell r="I235"/>
          <cell r="J235"/>
        </row>
        <row r="236">
          <cell r="A236" t="str">
            <v>RHES-SHLTHCHPNGA</v>
          </cell>
          <cell r="B236" t="str">
            <v>VAR_ncap</v>
          </cell>
          <cell r="C236" t="str">
            <v>-</v>
          </cell>
          <cell r="H236">
            <v>3.65467411839783E-4</v>
          </cell>
          <cell r="I236">
            <v>8.8512738971887705E-5</v>
          </cell>
          <cell r="J236"/>
        </row>
        <row r="237">
          <cell r="A237" t="str">
            <v>RHES-SHLTHCHPNGA</v>
          </cell>
          <cell r="B237" t="str">
            <v>VAR_cap</v>
          </cell>
          <cell r="C237" t="str">
            <v>-</v>
          </cell>
          <cell r="H237">
            <v>7.4268518920724003E-4</v>
          </cell>
          <cell r="I237">
            <v>2.1826946120907396E-4</v>
          </cell>
          <cell r="J237">
            <v>-3.3936032301884293E-10</v>
          </cell>
        </row>
        <row r="238">
          <cell r="A238" t="str">
            <v>RHSA-WHSTG-ELC</v>
          </cell>
          <cell r="B238" t="str">
            <v>VAR_fout</v>
          </cell>
          <cell r="C238" t="str">
            <v>RHSA-WHAELCB</v>
          </cell>
          <cell r="H238">
            <v>0.37031358113255625</v>
          </cell>
          <cell r="I238">
            <v>0.35809621185554019</v>
          </cell>
          <cell r="J238">
            <v>0.2920417086669127</v>
          </cell>
        </row>
        <row r="239">
          <cell r="A239" t="str">
            <v>RHSA-WHSTG-ELC</v>
          </cell>
          <cell r="B239" t="str">
            <v>VAR_fout</v>
          </cell>
          <cell r="C239" t="str">
            <v>AUX_RHSA-WHSTG-ELC_OUT</v>
          </cell>
          <cell r="H239">
            <v>0.37068389471368907</v>
          </cell>
          <cell r="I239">
            <v>0.35845430806739587</v>
          </cell>
          <cell r="J239">
            <v>0.29233375037557957</v>
          </cell>
        </row>
        <row r="240">
          <cell r="A240" t="str">
            <v>RHSA-WHSTG-ELC</v>
          </cell>
          <cell r="B240" t="str">
            <v>VAR_fin</v>
          </cell>
          <cell r="C240" t="str">
            <v>RHSA-WHAELCB</v>
          </cell>
          <cell r="H240">
            <v>0.37031358458906805</v>
          </cell>
          <cell r="I240">
            <v>0.35809620197325376</v>
          </cell>
          <cell r="J240">
            <v>0.29204171300629794</v>
          </cell>
        </row>
        <row r="241">
          <cell r="A241" t="str">
            <v>RHSA-WHSTG-ELC</v>
          </cell>
          <cell r="B241" t="str">
            <v>VAR_ncap</v>
          </cell>
          <cell r="C241" t="str">
            <v>-</v>
          </cell>
          <cell r="H241">
            <v>1.81949303823075E-2</v>
          </cell>
          <cell r="I241">
            <v>1.46930516785221E-2</v>
          </cell>
          <cell r="J241">
            <v>1.25212537791467E-2</v>
          </cell>
        </row>
        <row r="242">
          <cell r="A242" t="str">
            <v>RHSA-WHSTG-ELC</v>
          </cell>
          <cell r="B242" t="str">
            <v>VAR_cap</v>
          </cell>
          <cell r="C242" t="str">
            <v>-</v>
          </cell>
          <cell r="H242">
            <v>3.2812381927421828E-2</v>
          </cell>
          <cell r="I242">
            <v>3.2887286155458245E-2</v>
          </cell>
          <cell r="J242">
            <v>3.0875484584621443E-2</v>
          </cell>
        </row>
        <row r="243">
          <cell r="A243" t="str">
            <v>ITOT-SWHLFOBR</v>
          </cell>
          <cell r="B243" t="str">
            <v>VAR_fout</v>
          </cell>
          <cell r="C243" t="str">
            <v>ITOT-SWH</v>
          </cell>
          <cell r="H243">
            <v>3.7387224803063797</v>
          </cell>
          <cell r="I243">
            <v>3.7385192854263463</v>
          </cell>
          <cell r="J243">
            <v>0.81371046728597207</v>
          </cell>
        </row>
        <row r="244">
          <cell r="A244" t="str">
            <v>ITOT-SWHLFOBR</v>
          </cell>
          <cell r="B244" t="str">
            <v>VAR_fout</v>
          </cell>
          <cell r="C244" t="str">
            <v>CO2_I</v>
          </cell>
          <cell r="H244">
            <v>350.16583886856398</v>
          </cell>
          <cell r="I244">
            <v>348.753212134433</v>
          </cell>
          <cell r="J244">
            <v>75.308702953474096</v>
          </cell>
        </row>
        <row r="245">
          <cell r="A245" t="str">
            <v>ITOT-SWHLFOBR</v>
          </cell>
          <cell r="B245" t="str">
            <v>VAR_fin</v>
          </cell>
          <cell r="C245" t="str">
            <v>ILFO</v>
          </cell>
          <cell r="H245">
            <v>4.7512325490985674</v>
          </cell>
          <cell r="I245">
            <v>4.7320652935472634</v>
          </cell>
          <cell r="J245">
            <v>1.021827719857179</v>
          </cell>
        </row>
        <row r="246">
          <cell r="A246" t="str">
            <v>ITOT-SWHLFOBR</v>
          </cell>
          <cell r="B246" t="str">
            <v>VAR_ncap</v>
          </cell>
          <cell r="C246" t="str">
            <v>-</v>
          </cell>
          <cell r="H246">
            <v>0.14338162092290099</v>
          </cell>
          <cell r="I246">
            <v>7.1739360420181905E-2</v>
          </cell>
          <cell r="J246">
            <v>5.7613541815422704E-7</v>
          </cell>
        </row>
        <row r="247">
          <cell r="A247" t="str">
            <v>ITOT-SWHLFOBR</v>
          </cell>
          <cell r="B247" t="str">
            <v>VAR_cap</v>
          </cell>
          <cell r="C247" t="str">
            <v>-</v>
          </cell>
          <cell r="H247">
            <v>0.24096934799176084</v>
          </cell>
          <cell r="I247">
            <v>0.21512135504201574</v>
          </cell>
          <cell r="J247">
            <v>6.7816684885424111E-2</v>
          </cell>
        </row>
        <row r="248">
          <cell r="A248" t="str">
            <v>D-SCOM_LTH_CHPNGA</v>
          </cell>
          <cell r="B248" t="str">
            <v>VAR_fout</v>
          </cell>
          <cell r="C248" t="str">
            <v>SCOM_LTH_CHPNGA_ON</v>
          </cell>
          <cell r="H248"/>
          <cell r="I248"/>
          <cell r="J248"/>
        </row>
        <row r="249">
          <cell r="A249" t="str">
            <v>D-SCOM_LTH_CHPNGA</v>
          </cell>
          <cell r="B249" t="str">
            <v>VAR_fin</v>
          </cell>
          <cell r="C249" t="str">
            <v>SCOM_LTH_CHPNGA</v>
          </cell>
          <cell r="H249"/>
          <cell r="I249"/>
          <cell r="J249"/>
        </row>
        <row r="250">
          <cell r="A250" t="str">
            <v>D-IWOD</v>
          </cell>
          <cell r="B250" t="str">
            <v>VAR_fout</v>
          </cell>
          <cell r="C250" t="str">
            <v>IWOD</v>
          </cell>
          <cell r="H250">
            <v>13.574565741173439</v>
          </cell>
          <cell r="I250">
            <v>15.047031757288691</v>
          </cell>
          <cell r="J250">
            <v>22.091008145033395</v>
          </cell>
        </row>
        <row r="251">
          <cell r="A251" t="str">
            <v>D-IWOD</v>
          </cell>
          <cell r="B251" t="str">
            <v>VAR_fin</v>
          </cell>
          <cell r="C251" t="str">
            <v>WOD</v>
          </cell>
          <cell r="H251">
            <v>13.574565741173439</v>
          </cell>
          <cell r="I251">
            <v>15.047031757288691</v>
          </cell>
          <cell r="J251">
            <v>22.091008145033395</v>
          </cell>
        </row>
        <row r="252">
          <cell r="A252" t="str">
            <v>SCOM-ELCSPEC</v>
          </cell>
          <cell r="B252" t="str">
            <v>VAR_fout</v>
          </cell>
          <cell r="C252" t="str">
            <v>SCOM-ELS</v>
          </cell>
          <cell r="H252">
            <v>35.67444342505047</v>
          </cell>
          <cell r="I252">
            <v>33.110248982513859</v>
          </cell>
          <cell r="J252">
            <v>30.116620626270176</v>
          </cell>
        </row>
        <row r="253">
          <cell r="A253" t="str">
            <v>SCOM-ELCSPEC</v>
          </cell>
          <cell r="B253" t="str">
            <v>VAR_fin</v>
          </cell>
          <cell r="C253" t="str">
            <v>SCOM_ELC</v>
          </cell>
          <cell r="H253">
            <v>35.67444342505047</v>
          </cell>
          <cell r="I253">
            <v>33.110248982513859</v>
          </cell>
          <cell r="J253">
            <v>30.116620626270176</v>
          </cell>
        </row>
        <row r="254">
          <cell r="A254" t="str">
            <v>SCOM-ELCSPEC</v>
          </cell>
          <cell r="B254" t="str">
            <v>VAR_ncap</v>
          </cell>
          <cell r="C254" t="str">
            <v>-</v>
          </cell>
          <cell r="H254">
            <v>1.4582110382103099E-7</v>
          </cell>
          <cell r="I254">
            <v>1.6793740867428201E-7</v>
          </cell>
          <cell r="J254">
            <v>2.8724331948024902</v>
          </cell>
        </row>
        <row r="255">
          <cell r="A255" t="str">
            <v>SCOM-ELCSPEC</v>
          </cell>
          <cell r="B255" t="str">
            <v>VAR_cap</v>
          </cell>
          <cell r="C255" t="str">
            <v>-</v>
          </cell>
          <cell r="H255">
            <v>3.7707641100079075</v>
          </cell>
          <cell r="I255">
            <v>3.4997305300250665</v>
          </cell>
          <cell r="J255">
            <v>3.1833059455237462</v>
          </cell>
        </row>
        <row r="256">
          <cell r="A256" t="str">
            <v>D-ITOT_KEV_WST_ELC_CHP</v>
          </cell>
          <cell r="B256" t="str">
            <v>VAR_fout</v>
          </cell>
          <cell r="C256" t="str">
            <v>ITOT_ELC</v>
          </cell>
          <cell r="H256">
            <v>8.5315268940257074E-5</v>
          </cell>
          <cell r="I256">
            <v>2.1573639261651578E-4</v>
          </cell>
          <cell r="J256">
            <v>0.24951851198463032</v>
          </cell>
        </row>
        <row r="257">
          <cell r="A257" t="str">
            <v>D-ITOT_KEV_WST_ELC_CHP</v>
          </cell>
          <cell r="B257" t="str">
            <v>VAR_fout</v>
          </cell>
          <cell r="C257" t="str">
            <v>ELC5</v>
          </cell>
          <cell r="H257">
            <v>6.8984125636731313E-5</v>
          </cell>
          <cell r="I257">
            <v>9.6800979689733602E-5</v>
          </cell>
          <cell r="J257">
            <v>4.2262712470482577E-2</v>
          </cell>
        </row>
        <row r="258">
          <cell r="A258" t="str">
            <v>D-ITOT_KEV_WST_ELC_CHP</v>
          </cell>
          <cell r="B258" t="str">
            <v>VAR_fin</v>
          </cell>
          <cell r="C258" t="str">
            <v>ITOT_KEV_WST_ELC_CHP</v>
          </cell>
          <cell r="H258">
            <v>1.5408588931629965E-4</v>
          </cell>
          <cell r="I258">
            <v>3.1253737230624925E-4</v>
          </cell>
          <cell r="J258">
            <v>0.2917812244551129</v>
          </cell>
        </row>
        <row r="259">
          <cell r="A259" t="str">
            <v>D-RHNM_SOLELC</v>
          </cell>
          <cell r="B259" t="str">
            <v>VAR_fout</v>
          </cell>
          <cell r="C259" t="str">
            <v>ELC5</v>
          </cell>
          <cell r="H259">
            <v>4.4772764829514369E-5</v>
          </cell>
          <cell r="I259">
            <v>5.7544111894297393E-5</v>
          </cell>
          <cell r="J259">
            <v>3.723124219481225E-5</v>
          </cell>
        </row>
        <row r="260">
          <cell r="A260" t="str">
            <v>D-RHNM_SOLELC</v>
          </cell>
          <cell r="B260" t="str">
            <v>VAR_fout</v>
          </cell>
          <cell r="C260" t="str">
            <v>RHNM_ELC</v>
          </cell>
          <cell r="H260">
            <v>1.886035892329027E-4</v>
          </cell>
          <cell r="I260">
            <v>8.3901851344890164E-4</v>
          </cell>
          <cell r="J260">
            <v>9.5026618865005181E-4</v>
          </cell>
        </row>
        <row r="261">
          <cell r="A261" t="str">
            <v>D-RHNM_SOLELC</v>
          </cell>
          <cell r="B261" t="str">
            <v>VAR_fin</v>
          </cell>
          <cell r="C261" t="str">
            <v>RHNM_SOL_ELC</v>
          </cell>
          <cell r="H261">
            <v>2.3337635406241709E-4</v>
          </cell>
          <cell r="I261">
            <v>8.9656262534319774E-4</v>
          </cell>
          <cell r="J261">
            <v>9.8749743084486407E-4</v>
          </cell>
        </row>
        <row r="262">
          <cell r="A262" t="str">
            <v>RHNM-SHSTG-ELCHP</v>
          </cell>
          <cell r="B262" t="str">
            <v>VAR_fout</v>
          </cell>
          <cell r="C262" t="str">
            <v>AUX_RHNM-SHSTG-ELCHP_OUT</v>
          </cell>
          <cell r="H262">
            <v>0.47262908432196321</v>
          </cell>
          <cell r="I262">
            <v>0.5384577220662119</v>
          </cell>
          <cell r="J262">
            <v>0.58944860323309545</v>
          </cell>
        </row>
        <row r="263">
          <cell r="A263" t="str">
            <v>RHNM-SHSTG-ELCHP</v>
          </cell>
          <cell r="B263" t="str">
            <v>VAR_fout</v>
          </cell>
          <cell r="C263" t="str">
            <v>RHNM-SHAELCH</v>
          </cell>
          <cell r="H263">
            <v>0.47215692739456894</v>
          </cell>
          <cell r="I263">
            <v>0.53791980226394764</v>
          </cell>
          <cell r="J263">
            <v>0.58885974348960524</v>
          </cell>
        </row>
        <row r="264">
          <cell r="A264" t="str">
            <v>RHNM-SHSTG-ELCHP</v>
          </cell>
          <cell r="B264" t="str">
            <v>VAR_fin</v>
          </cell>
          <cell r="C264" t="str">
            <v>RHNM-SHAELCH</v>
          </cell>
          <cell r="H264">
            <v>0.47215697052042854</v>
          </cell>
          <cell r="I264">
            <v>0.53791988820629288</v>
          </cell>
          <cell r="J264">
            <v>0.58885983520848828</v>
          </cell>
        </row>
        <row r="265">
          <cell r="A265" t="str">
            <v>RHNM-SHSTG-ELCHP</v>
          </cell>
          <cell r="B265" t="str">
            <v>VAR_ncap</v>
          </cell>
          <cell r="C265" t="str">
            <v>-</v>
          </cell>
          <cell r="H265">
            <v>1.8147761580596E-2</v>
          </cell>
          <cell r="I265">
            <v>2.5926918760630201E-2</v>
          </cell>
          <cell r="J265">
            <v>3.7301842960191997E-2</v>
          </cell>
        </row>
        <row r="266">
          <cell r="A266" t="str">
            <v>RHNM-SHSTG-ELCHP</v>
          </cell>
          <cell r="B266" t="str">
            <v>VAR_cap</v>
          </cell>
          <cell r="C266" t="str">
            <v>-</v>
          </cell>
          <cell r="H266">
            <v>4.7239294267937527E-2</v>
          </cell>
          <cell r="I266">
            <v>5.525671758776398E-2</v>
          </cell>
          <cell r="J266">
            <v>6.3788153329245131E-2</v>
          </cell>
        </row>
        <row r="267">
          <cell r="A267" t="str">
            <v>D-SCOM_LTH</v>
          </cell>
          <cell r="B267" t="str">
            <v>VAR_fout</v>
          </cell>
          <cell r="C267" t="str">
            <v>SCOM_LTH_DH</v>
          </cell>
          <cell r="H267">
            <v>8.024530503341083</v>
          </cell>
          <cell r="I267">
            <v>8.5539650419389126</v>
          </cell>
          <cell r="J267">
            <v>7.9424423166963543</v>
          </cell>
        </row>
        <row r="268">
          <cell r="A268" t="str">
            <v>D-SCOM_LTH</v>
          </cell>
          <cell r="B268" t="str">
            <v>VAR_fin</v>
          </cell>
          <cell r="C268" t="str">
            <v>LTH</v>
          </cell>
          <cell r="H268">
            <v>8.7065083082351151</v>
          </cell>
          <cell r="I268">
            <v>9.274854236785206</v>
          </cell>
          <cell r="J268">
            <v>8.6005202281078077</v>
          </cell>
        </row>
        <row r="269">
          <cell r="A269" t="str">
            <v>D-SCOM_LTH</v>
          </cell>
          <cell r="B269" t="str">
            <v>VAR_ncap</v>
          </cell>
          <cell r="C269" t="str">
            <v>-</v>
          </cell>
          <cell r="H269"/>
          <cell r="I269"/>
          <cell r="J269"/>
        </row>
        <row r="270">
          <cell r="A270" t="str">
            <v>D-SCOM_LTH</v>
          </cell>
          <cell r="B270" t="str">
            <v>VAR_cap</v>
          </cell>
          <cell r="C270" t="str">
            <v>-</v>
          </cell>
          <cell r="H270">
            <v>0.84970025639102498</v>
          </cell>
          <cell r="I270">
            <v>0.84970025639102498</v>
          </cell>
          <cell r="J270">
            <v>0.84970025639102498</v>
          </cell>
        </row>
        <row r="271">
          <cell r="A271" t="str">
            <v>ITOT-SWHBIOBR</v>
          </cell>
          <cell r="B271" t="str">
            <v>VAR_fout</v>
          </cell>
          <cell r="C271" t="str">
            <v>ITOT-SWH</v>
          </cell>
          <cell r="H271">
            <v>6.586722699332987</v>
          </cell>
          <cell r="I271">
            <v>7.5932334998909452</v>
          </cell>
          <cell r="J271">
            <v>7.9878825122749539</v>
          </cell>
        </row>
        <row r="272">
          <cell r="A272" t="str">
            <v>ITOT-SWHBIOBR</v>
          </cell>
          <cell r="B272" t="str">
            <v>VAR_fin</v>
          </cell>
          <cell r="C272" t="str">
            <v>IBIO</v>
          </cell>
          <cell r="H272">
            <v>9.264026300046396</v>
          </cell>
          <cell r="I272">
            <v>10.679653305050559</v>
          </cell>
          <cell r="J272">
            <v>11.094281267048547</v>
          </cell>
        </row>
        <row r="273">
          <cell r="A273" t="str">
            <v>ITOT-SWHBIOBR</v>
          </cell>
          <cell r="B273" t="str">
            <v>VAR_ncap</v>
          </cell>
          <cell r="C273" t="str">
            <v>-</v>
          </cell>
          <cell r="H273">
            <v>9.9991740582740699E-2</v>
          </cell>
          <cell r="I273">
            <v>0.22058743996828301</v>
          </cell>
          <cell r="J273">
            <v>0.302968647651713</v>
          </cell>
        </row>
        <row r="274">
          <cell r="A274" t="str">
            <v>ITOT-SWHBIOBR</v>
          </cell>
          <cell r="B274" t="str">
            <v>VAR_cap</v>
          </cell>
          <cell r="C274" t="str">
            <v>-</v>
          </cell>
          <cell r="H274">
            <v>0.37489094670402923</v>
          </cell>
          <cell r="I274">
            <v>0.44067363851460944</v>
          </cell>
          <cell r="J274">
            <v>0.50535089583903559</v>
          </cell>
        </row>
        <row r="275">
          <cell r="A275" t="str">
            <v>RHNS-SHPLTBR</v>
          </cell>
          <cell r="B275" t="str">
            <v>VAR_fout</v>
          </cell>
          <cell r="C275" t="str">
            <v>RHNS-SHPLT</v>
          </cell>
          <cell r="H275">
            <v>1.4594159745693757E-2</v>
          </cell>
          <cell r="I275">
            <v>1.5302263175434257E-2</v>
          </cell>
          <cell r="J275">
            <v>1.7436797358684034E-2</v>
          </cell>
        </row>
        <row r="276">
          <cell r="A276" t="str">
            <v>RHNS-SHPLTBR</v>
          </cell>
          <cell r="B276" t="str">
            <v>VAR_fin</v>
          </cell>
          <cell r="C276" t="str">
            <v>RPLT</v>
          </cell>
          <cell r="H276">
            <v>1.9080420828612825E-2</v>
          </cell>
          <cell r="I276">
            <v>1.9969465483705106E-2</v>
          </cell>
          <cell r="J276">
            <v>2.2739805171666953E-2</v>
          </cell>
        </row>
        <row r="277">
          <cell r="A277" t="str">
            <v>RHNS-SHPLTBR</v>
          </cell>
          <cell r="B277" t="str">
            <v>VAR_ncap</v>
          </cell>
          <cell r="C277" t="str">
            <v>-</v>
          </cell>
          <cell r="H277">
            <v>1.25769491747567E-4</v>
          </cell>
          <cell r="I277">
            <v>4.0755990696930098E-4</v>
          </cell>
          <cell r="J277">
            <v>9.2603934320672598E-4</v>
          </cell>
        </row>
        <row r="278">
          <cell r="A278" t="str">
            <v>RHNS-SHPLTBR</v>
          </cell>
          <cell r="B278" t="str">
            <v>VAR_cap</v>
          </cell>
          <cell r="C278" t="str">
            <v>-</v>
          </cell>
          <cell r="H278">
            <v>1.0665735289418679E-3</v>
          </cell>
          <cell r="I278">
            <v>1.1164896498379951E-3</v>
          </cell>
          <cell r="J278">
            <v>1.2750092476612428E-3</v>
          </cell>
        </row>
        <row r="279">
          <cell r="A279" t="str">
            <v>D-RHNM_KEV_WOD_ELC_CHP</v>
          </cell>
          <cell r="B279" t="str">
            <v>VAR_fout</v>
          </cell>
          <cell r="C279" t="str">
            <v>ELC5</v>
          </cell>
          <cell r="H279">
            <v>1.525426317514515E-4</v>
          </cell>
          <cell r="I279">
            <v>1.3195893227401439E-4</v>
          </cell>
          <cell r="J279">
            <v>7.4643363487308649E-5</v>
          </cell>
        </row>
        <row r="280">
          <cell r="A280" t="str">
            <v>D-RHNM_KEV_WOD_ELC_CHP</v>
          </cell>
          <cell r="B280" t="str">
            <v>VAR_fout</v>
          </cell>
          <cell r="C280" t="str">
            <v>RHNM_ELC</v>
          </cell>
          <cell r="H280">
            <v>1.3275420810761075E-3</v>
          </cell>
          <cell r="I280">
            <v>0.1722443103101135</v>
          </cell>
          <cell r="J280">
            <v>0.12452743689208809</v>
          </cell>
        </row>
        <row r="281">
          <cell r="A281" t="str">
            <v>D-RHNM_KEV_WOD_ELC_CHP</v>
          </cell>
          <cell r="B281" t="str">
            <v>VAR_fin</v>
          </cell>
          <cell r="C281" t="str">
            <v>RHNM_KEV_WOD_ELC_CHP</v>
          </cell>
          <cell r="H281">
            <v>1.4799335709521585E-3</v>
          </cell>
          <cell r="I281">
            <v>0.17237616129859284</v>
          </cell>
          <cell r="J281">
            <v>0.12460198043499725</v>
          </cell>
        </row>
        <row r="282">
          <cell r="A282" t="str">
            <v>SCOM-SHLTHCHPNGA</v>
          </cell>
          <cell r="B282" t="str">
            <v>VAR_fout</v>
          </cell>
          <cell r="C282" t="str">
            <v>SCOM-SHLTHC-NGA</v>
          </cell>
          <cell r="H282"/>
          <cell r="I282"/>
          <cell r="J282"/>
        </row>
        <row r="283">
          <cell r="A283" t="str">
            <v>SCOM-SHLTHCHPNGA</v>
          </cell>
          <cell r="B283" t="str">
            <v>VAR_fin</v>
          </cell>
          <cell r="C283" t="str">
            <v>SCOMLTHCHPC</v>
          </cell>
          <cell r="H283"/>
          <cell r="I283"/>
          <cell r="J283"/>
        </row>
        <row r="284">
          <cell r="A284" t="str">
            <v>SCOM-SHLTHCHPNGA</v>
          </cell>
          <cell r="B284" t="str">
            <v>VAR_fin</v>
          </cell>
          <cell r="C284" t="str">
            <v>SCOM_LTH_CHPNGA_ON</v>
          </cell>
          <cell r="H284"/>
          <cell r="I284"/>
          <cell r="J284"/>
        </row>
        <row r="285">
          <cell r="A285" t="str">
            <v>SCOM-SHLTHCHPNGA</v>
          </cell>
          <cell r="B285" t="str">
            <v>VAR_ncap</v>
          </cell>
          <cell r="C285" t="str">
            <v>-</v>
          </cell>
          <cell r="H285">
            <v>2.2920951394927599E-2</v>
          </cell>
          <cell r="I285">
            <v>2.3274805830936201E-3</v>
          </cell>
          <cell r="J285">
            <v>4.08787857604724E-8</v>
          </cell>
        </row>
        <row r="286">
          <cell r="A286" t="str">
            <v>SCOM-SHLTHCHPNGA</v>
          </cell>
          <cell r="B286" t="str">
            <v>VAR_cap</v>
          </cell>
          <cell r="C286" t="str">
            <v>-</v>
          </cell>
          <cell r="H286">
            <v>3.8482312595521997E-2</v>
          </cell>
          <cell r="I286">
            <v>2.1132687311272099E-2</v>
          </cell>
          <cell r="J286">
            <v>1.0891760440084886E-7</v>
          </cell>
        </row>
        <row r="287">
          <cell r="A287" t="str">
            <v>ITOT-PROCESSCO2</v>
          </cell>
          <cell r="B287" t="str">
            <v>VAR_fout</v>
          </cell>
          <cell r="C287" t="str">
            <v>CO2</v>
          </cell>
          <cell r="H287">
            <v>2085.5349635673301</v>
          </cell>
          <cell r="I287">
            <v>2077.4128901999502</v>
          </cell>
          <cell r="J287">
            <v>2063.7486455502899</v>
          </cell>
        </row>
        <row r="288">
          <cell r="A288" t="str">
            <v>ITOT-PROCESSCO2</v>
          </cell>
          <cell r="B288" t="str">
            <v>VAR_fout</v>
          </cell>
          <cell r="C288" t="str">
            <v>CO2P</v>
          </cell>
          <cell r="H288">
            <v>2085.5349635673278</v>
          </cell>
          <cell r="I288">
            <v>2077.412890199952</v>
          </cell>
          <cell r="J288">
            <v>2063.748645550289</v>
          </cell>
        </row>
        <row r="289">
          <cell r="A289" t="str">
            <v>RHNM-SHWODBR</v>
          </cell>
          <cell r="B289" t="str">
            <v>VAR_fout</v>
          </cell>
          <cell r="C289" t="str">
            <v>RHNM-SHWOD</v>
          </cell>
          <cell r="H289">
            <v>0.15420625927824183</v>
          </cell>
          <cell r="I289">
            <v>0.1606892436618598</v>
          </cell>
          <cell r="J289">
            <v>0.1393076881600448</v>
          </cell>
        </row>
        <row r="290">
          <cell r="A290" t="str">
            <v>RHNM-SHWODBR</v>
          </cell>
          <cell r="B290" t="str">
            <v>VAR_fin</v>
          </cell>
          <cell r="C290" t="str">
            <v>RHNMWODBRC</v>
          </cell>
          <cell r="H290">
            <v>0.15420625927824183</v>
          </cell>
          <cell r="I290">
            <v>0.1606892436618598</v>
          </cell>
          <cell r="J290">
            <v>0.1393076881600448</v>
          </cell>
        </row>
        <row r="291">
          <cell r="A291" t="str">
            <v>RHNM-SHWODBR</v>
          </cell>
          <cell r="B291" t="str">
            <v>VAR_fin</v>
          </cell>
          <cell r="C291" t="str">
            <v>RWOD</v>
          </cell>
          <cell r="H291">
            <v>0.20410427358036701</v>
          </cell>
          <cell r="I291">
            <v>0.21187176722759643</v>
          </cell>
          <cell r="J291">
            <v>0.18367978718581271</v>
          </cell>
        </row>
        <row r="292">
          <cell r="A292" t="str">
            <v>RHNM-SHWODBR</v>
          </cell>
          <cell r="B292" t="str">
            <v>VAR_ncap</v>
          </cell>
          <cell r="C292" t="str">
            <v>-</v>
          </cell>
          <cell r="H292">
            <v>2.56416977928705E-2</v>
          </cell>
          <cell r="I292"/>
          <cell r="J292"/>
        </row>
        <row r="293">
          <cell r="A293" t="str">
            <v>RHNM-SHWODBR</v>
          </cell>
          <cell r="B293" t="str">
            <v>VAR_cap</v>
          </cell>
          <cell r="C293" t="str">
            <v>-</v>
          </cell>
          <cell r="H293">
            <v>2.9692004642603877E-2</v>
          </cell>
          <cell r="I293">
            <v>2.6357973908294297E-2</v>
          </cell>
          <cell r="J293">
            <v>1.0846294048998161E-2</v>
          </cell>
        </row>
        <row r="294">
          <cell r="A294" t="str">
            <v>RHNS-SHDEM</v>
          </cell>
          <cell r="B294" t="str">
            <v>VAR_fout</v>
          </cell>
          <cell r="C294" t="str">
            <v>RHNS-SHD</v>
          </cell>
          <cell r="H294">
            <v>4.0496236664782401</v>
          </cell>
          <cell r="I294">
            <v>4.688606785401439</v>
          </cell>
          <cell r="J294">
            <v>5.2114799671158902</v>
          </cell>
        </row>
        <row r="295">
          <cell r="A295" t="str">
            <v>RHNS-SHDEM</v>
          </cell>
          <cell r="B295" t="str">
            <v>VAR_fin</v>
          </cell>
          <cell r="C295" t="str">
            <v>RHNS-SHLTHC-WOD</v>
          </cell>
          <cell r="H295">
            <v>3.3059499107521842E-5</v>
          </cell>
          <cell r="I295"/>
          <cell r="J295">
            <v>4.7505905980209629E-5</v>
          </cell>
        </row>
        <row r="296">
          <cell r="A296" t="str">
            <v>RHNS-SHDEM</v>
          </cell>
          <cell r="B296" t="str">
            <v>VAR_fin</v>
          </cell>
          <cell r="C296" t="str">
            <v>RHNS-SHLFO</v>
          </cell>
          <cell r="H296">
            <v>2.6003459881430137E-2</v>
          </cell>
          <cell r="I296">
            <v>2.2136341156487226E-2</v>
          </cell>
          <cell r="J296"/>
        </row>
        <row r="297">
          <cell r="A297" t="str">
            <v>RHNS-SHDEM</v>
          </cell>
          <cell r="B297" t="str">
            <v>VAR_fin</v>
          </cell>
          <cell r="C297" t="str">
            <v>RHNS-SHNGAH</v>
          </cell>
          <cell r="H297">
            <v>0.83502891735646756</v>
          </cell>
          <cell r="I297">
            <v>1.0147518431089642</v>
          </cell>
          <cell r="J297">
            <v>1.1179128270524794</v>
          </cell>
        </row>
        <row r="298">
          <cell r="A298" t="str">
            <v>RHNS-SHDEM</v>
          </cell>
          <cell r="B298" t="str">
            <v>VAR_fin</v>
          </cell>
          <cell r="C298" t="str">
            <v>RHNS-SHCON</v>
          </cell>
          <cell r="H298">
            <v>1.7414683767602649E-4</v>
          </cell>
          <cell r="I298">
            <v>1.3005540054971735E-3</v>
          </cell>
          <cell r="J298">
            <v>1.5301821942205842E-3</v>
          </cell>
        </row>
        <row r="299">
          <cell r="A299" t="str">
            <v>RHNS-SHDEM</v>
          </cell>
          <cell r="B299" t="str">
            <v>VAR_fin</v>
          </cell>
          <cell r="C299" t="str">
            <v>RHNS-SHWOD</v>
          </cell>
          <cell r="H299">
            <v>0.12565373791246623</v>
          </cell>
          <cell r="I299">
            <v>0.12905147833433836</v>
          </cell>
          <cell r="J299">
            <v>0.12698924987521934</v>
          </cell>
        </row>
        <row r="300">
          <cell r="A300" t="str">
            <v>RHNS-SHDEM</v>
          </cell>
          <cell r="B300" t="str">
            <v>VAR_fin</v>
          </cell>
          <cell r="C300" t="str">
            <v>RHNS-SHNST</v>
          </cell>
          <cell r="H300">
            <v>2.0437141261688588E-6</v>
          </cell>
          <cell r="I300">
            <v>2.7268825287702802E-5</v>
          </cell>
          <cell r="J300"/>
        </row>
        <row r="301">
          <cell r="A301" t="str">
            <v>RHNS-SHDEM</v>
          </cell>
          <cell r="B301" t="str">
            <v>VAR_fin</v>
          </cell>
          <cell r="C301" t="str">
            <v>RHNS-SHPLT</v>
          </cell>
          <cell r="H301">
            <v>1.4572767249563478E-2</v>
          </cell>
          <cell r="I301">
            <v>1.5285166737748587E-2</v>
          </cell>
          <cell r="J301">
            <v>1.7402018399631604E-2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RHNS-SHLTHD</v>
          </cell>
          <cell r="H302">
            <v>0.12344698755385898</v>
          </cell>
          <cell r="I302">
            <v>0.12981876740966453</v>
          </cell>
          <cell r="J302">
            <v>0.13882948313550084</v>
          </cell>
        </row>
        <row r="303">
          <cell r="A303" t="str">
            <v>RHNS-SHDEM</v>
          </cell>
          <cell r="B303" t="str">
            <v>VAR_fin</v>
          </cell>
          <cell r="C303" t="str">
            <v>RHNS-SHELCB</v>
          </cell>
          <cell r="H303">
            <v>1.1193949463410827E-2</v>
          </cell>
          <cell r="I303">
            <v>1.1281964028046427E-2</v>
          </cell>
          <cell r="J303">
            <v>9.3926771513129E-3</v>
          </cell>
        </row>
        <row r="304">
          <cell r="A304" t="str">
            <v>RHNS-SHDEM</v>
          </cell>
          <cell r="B304" t="str">
            <v>VAR_fin</v>
          </cell>
          <cell r="C304" t="str">
            <v>RHNS-SHELCH</v>
          </cell>
          <cell r="H304">
            <v>2.8507643823908606</v>
          </cell>
          <cell r="I304">
            <v>3.3034243754022445</v>
          </cell>
          <cell r="J304">
            <v>3.7609774359371135</v>
          </cell>
        </row>
        <row r="305">
          <cell r="A305" t="str">
            <v>RHNS-SHDEM</v>
          </cell>
          <cell r="B305" t="str">
            <v>VAR_fin</v>
          </cell>
          <cell r="C305" t="str">
            <v>RHNS-SHSOL</v>
          </cell>
          <cell r="H305">
            <v>5.4628171367680756E-4</v>
          </cell>
          <cell r="I305">
            <v>5.7990968980794284E-4</v>
          </cell>
          <cell r="J305">
            <v>1.054814049763763E-3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RHNS-SHLTHC-NGA</v>
          </cell>
          <cell r="H306">
            <v>2.5600784817558003E-7</v>
          </cell>
          <cell r="I306"/>
          <cell r="J306">
            <v>9.4395714573794184E-7</v>
          </cell>
        </row>
        <row r="307">
          <cell r="A307" t="str">
            <v>RHNS-SHDEM</v>
          </cell>
          <cell r="B307" t="str">
            <v>VAR_fin</v>
          </cell>
          <cell r="C307" t="str">
            <v>RHNS-SHNGA</v>
          </cell>
          <cell r="H307">
            <v>6.2207155451654512E-2</v>
          </cell>
          <cell r="I307">
            <v>6.0951926932154191E-2</v>
          </cell>
          <cell r="J307">
            <v>3.7344878153143642E-2</v>
          </cell>
        </row>
        <row r="308">
          <cell r="A308" t="str">
            <v>RES-ELCSPEC</v>
          </cell>
          <cell r="B308" t="str">
            <v>VAR_fout</v>
          </cell>
          <cell r="C308" t="str">
            <v>RHSA-ELS</v>
          </cell>
          <cell r="H308">
            <v>39.136574451767487</v>
          </cell>
          <cell r="I308">
            <v>34.428557309401931</v>
          </cell>
          <cell r="J308">
            <v>24.076433321513981</v>
          </cell>
        </row>
        <row r="309">
          <cell r="A309" t="str">
            <v>RES-ELCSPEC</v>
          </cell>
          <cell r="B309" t="str">
            <v>VAR_fin</v>
          </cell>
          <cell r="C309" t="str">
            <v>RHSA_ELC</v>
          </cell>
          <cell r="H309">
            <v>39.136574451767487</v>
          </cell>
          <cell r="I309">
            <v>34.428557309401931</v>
          </cell>
          <cell r="J309">
            <v>24.076433321513981</v>
          </cell>
        </row>
        <row r="310">
          <cell r="A310" t="str">
            <v>RES-ELCSPEC</v>
          </cell>
          <cell r="B310" t="str">
            <v>VAR_ncap</v>
          </cell>
          <cell r="C310" t="str">
            <v>-</v>
          </cell>
          <cell r="H310">
            <v>2.1773252446304599E-7</v>
          </cell>
          <cell r="I310">
            <v>1.14898594563369E-7</v>
          </cell>
          <cell r="J310">
            <v>2.0545232347364699</v>
          </cell>
        </row>
        <row r="311">
          <cell r="A311" t="str">
            <v>RES-ELCSPEC</v>
          </cell>
          <cell r="B311" t="str">
            <v>VAR_cap</v>
          </cell>
          <cell r="C311" t="str">
            <v>-</v>
          </cell>
          <cell r="H311">
            <v>4.1367093037666081</v>
          </cell>
          <cell r="I311">
            <v>3.6390753466047832</v>
          </cell>
          <cell r="J311">
            <v>2.5448623617695363</v>
          </cell>
        </row>
        <row r="312">
          <cell r="A312" t="str">
            <v>SCOM-SHCONBR1</v>
          </cell>
          <cell r="B312" t="str">
            <v>VAR_fout</v>
          </cell>
          <cell r="C312" t="str">
            <v>SCOM-SHCON</v>
          </cell>
          <cell r="H312">
            <v>1.4901151767083054</v>
          </cell>
          <cell r="I312">
            <v>1.5196514073887333</v>
          </cell>
          <cell r="J312">
            <v>2.6177906360565766</v>
          </cell>
        </row>
        <row r="313">
          <cell r="A313" t="str">
            <v>SCOM-SHCONBR1</v>
          </cell>
          <cell r="B313" t="str">
            <v>VAR_fin</v>
          </cell>
          <cell r="C313" t="str">
            <v>CON</v>
          </cell>
          <cell r="H313">
            <v>1.4901151767083054</v>
          </cell>
          <cell r="I313">
            <v>1.5196514073887333</v>
          </cell>
          <cell r="J313">
            <v>2.6177906360565766</v>
          </cell>
        </row>
        <row r="314">
          <cell r="A314" t="str">
            <v>SCOM-SHCONBR1</v>
          </cell>
          <cell r="B314" t="str">
            <v>VAR_ncap</v>
          </cell>
          <cell r="C314" t="str">
            <v>-</v>
          </cell>
          <cell r="H314">
            <v>5.5422852545936397E-8</v>
          </cell>
          <cell r="I314">
            <v>1.3048342853796E-7</v>
          </cell>
          <cell r="J314">
            <v>0.154168458833296</v>
          </cell>
        </row>
        <row r="315">
          <cell r="A315" t="str">
            <v>SCOM-SHCONBR1</v>
          </cell>
          <cell r="B315" t="str">
            <v>VAR_cap</v>
          </cell>
          <cell r="C315" t="str">
            <v>-</v>
          </cell>
          <cell r="H315">
            <v>0.11743137293246664</v>
          </cell>
          <cell r="I315">
            <v>0.11743152151030958</v>
          </cell>
          <cell r="J315">
            <v>0.22205583690276773</v>
          </cell>
        </row>
        <row r="316">
          <cell r="A316" t="str">
            <v>RHSA-WHSTG-SOL</v>
          </cell>
          <cell r="B316" t="str">
            <v>VAR_fout</v>
          </cell>
          <cell r="C316" t="str">
            <v>RHSA-WHASOL</v>
          </cell>
          <cell r="H316">
            <v>0.56893651049461569</v>
          </cell>
          <cell r="I316">
            <v>0.71167632320494656</v>
          </cell>
          <cell r="J316">
            <v>0.84521930251091626</v>
          </cell>
        </row>
        <row r="317">
          <cell r="A317" t="str">
            <v>RHSA-WHSTG-SOL</v>
          </cell>
          <cell r="B317" t="str">
            <v>VAR_fout</v>
          </cell>
          <cell r="C317" t="str">
            <v>AUX_RHSA-WHSTG-SOL_OUT</v>
          </cell>
          <cell r="H317">
            <v>0.56950544700511019</v>
          </cell>
          <cell r="I317">
            <v>0.71238799952815157</v>
          </cell>
          <cell r="J317">
            <v>0.84606452181342673</v>
          </cell>
          <cell r="L317"/>
          <cell r="M317"/>
          <cell r="N317"/>
        </row>
        <row r="318">
          <cell r="A318" t="str">
            <v>RHSA-WHSTG-SOL</v>
          </cell>
          <cell r="B318" t="str">
            <v>VAR_fin</v>
          </cell>
          <cell r="C318" t="str">
            <v>RHSA-WHASOL</v>
          </cell>
          <cell r="H318">
            <v>0.56893681628603909</v>
          </cell>
          <cell r="I318">
            <v>0.71167651983962232</v>
          </cell>
          <cell r="J318">
            <v>0.84521951083304103</v>
          </cell>
        </row>
        <row r="319">
          <cell r="A319" t="str">
            <v>RHSA-WHSTG-SOL</v>
          </cell>
          <cell r="B319" t="str">
            <v>VAR_ncap</v>
          </cell>
          <cell r="C319" t="str">
            <v>-</v>
          </cell>
          <cell r="H319">
            <v>6.2956683984862497E-2</v>
          </cell>
          <cell r="I319">
            <v>4.5160267380748201E-2</v>
          </cell>
          <cell r="J319">
            <v>6.8770939533394998E-2</v>
          </cell>
        </row>
        <row r="320">
          <cell r="A320" t="str">
            <v>RHSA-WHSTG-SOL</v>
          </cell>
          <cell r="B320" t="str">
            <v>VAR_cap</v>
          </cell>
          <cell r="C320" t="str">
            <v>-</v>
          </cell>
          <cell r="H320">
            <v>8.551736752220096E-2</v>
          </cell>
          <cell r="I320">
            <v>0.108117000901211</v>
          </cell>
          <cell r="J320">
            <v>0.128175600110708</v>
          </cell>
        </row>
        <row r="321">
          <cell r="A321" t="str">
            <v>SCOM-SHCONBR2</v>
          </cell>
          <cell r="B321" t="str">
            <v>VAR_fout</v>
          </cell>
          <cell r="C321" t="str">
            <v>SCOM-SHCON</v>
          </cell>
          <cell r="H321">
            <v>2.3292840507128965</v>
          </cell>
          <cell r="I321">
            <v>2.36694145035651</v>
          </cell>
          <cell r="J321">
            <v>4.0772668478417176</v>
          </cell>
        </row>
        <row r="322">
          <cell r="A322" t="str">
            <v>SCOM-SHCONBR2</v>
          </cell>
          <cell r="B322" t="str">
            <v>VAR_fin</v>
          </cell>
          <cell r="C322" t="str">
            <v>CON</v>
          </cell>
          <cell r="H322">
            <v>2.3292840507128965</v>
          </cell>
          <cell r="I322">
            <v>2.36694145035651</v>
          </cell>
          <cell r="J322">
            <v>4.0772668478417176</v>
          </cell>
        </row>
        <row r="323">
          <cell r="A323" t="str">
            <v>SCOM-SHCONBR2</v>
          </cell>
          <cell r="B323" t="str">
            <v>VAR_ncap</v>
          </cell>
          <cell r="C323" t="str">
            <v>-</v>
          </cell>
          <cell r="H323">
            <v>4.6258507496117099E-8</v>
          </cell>
          <cell r="I323">
            <v>8.2372798142028699E-8</v>
          </cell>
          <cell r="J323">
            <v>0.24012036320976901</v>
          </cell>
        </row>
        <row r="324">
          <cell r="A324" t="str">
            <v>SCOM-SHCONBR2</v>
          </cell>
          <cell r="B324" t="str">
            <v>VAR_cap</v>
          </cell>
          <cell r="C324" t="str">
            <v>-</v>
          </cell>
          <cell r="H324">
            <v>0.18290191108574905</v>
          </cell>
          <cell r="I324">
            <v>0.18290201149876728</v>
          </cell>
          <cell r="J324">
            <v>0.34585627332139091</v>
          </cell>
        </row>
        <row r="325">
          <cell r="A325" t="str">
            <v>SCOM-SHCONBR3</v>
          </cell>
          <cell r="B325" t="str">
            <v>VAR_fout</v>
          </cell>
          <cell r="C325" t="str">
            <v>SCOM-SHCON</v>
          </cell>
          <cell r="H325">
            <v>1.8700444563203351</v>
          </cell>
          <cell r="I325">
            <v>1.9019038643930444</v>
          </cell>
          <cell r="J325">
            <v>1.0995290214431221</v>
          </cell>
        </row>
        <row r="326">
          <cell r="A326" t="str">
            <v>SCOM-SHCONBR3</v>
          </cell>
          <cell r="B326" t="str">
            <v>VAR_fin</v>
          </cell>
          <cell r="C326" t="str">
            <v>CON</v>
          </cell>
          <cell r="H326">
            <v>1.8700444563203351</v>
          </cell>
          <cell r="I326">
            <v>1.9019038643930444</v>
          </cell>
          <cell r="J326">
            <v>1.0995290214431221</v>
          </cell>
        </row>
        <row r="327">
          <cell r="A327" t="str">
            <v>SCOM-SHCONBR3</v>
          </cell>
          <cell r="B327" t="str">
            <v>VAR_ncap</v>
          </cell>
          <cell r="C327" t="str">
            <v>-</v>
          </cell>
          <cell r="H327">
            <v>1.2874884278860599E-8</v>
          </cell>
          <cell r="I327">
            <v>1.35659216502751E-8</v>
          </cell>
          <cell r="J327">
            <v>1.44699267346439E-7</v>
          </cell>
        </row>
        <row r="328">
          <cell r="A328" t="str">
            <v>SCOM-SHCONBR3</v>
          </cell>
          <cell r="B328" t="str">
            <v>VAR_cap</v>
          </cell>
          <cell r="C328" t="str">
            <v>-</v>
          </cell>
          <cell r="H328">
            <v>0.14696828661913508</v>
          </cell>
          <cell r="I328">
            <v>0.14696831786002759</v>
          </cell>
          <cell r="J328">
            <v>8.4962694144138692E-2</v>
          </cell>
        </row>
        <row r="329">
          <cell r="A329" t="str">
            <v>SCOM-SHCONBR4</v>
          </cell>
          <cell r="B329" t="str">
            <v>VAR_fout</v>
          </cell>
          <cell r="C329" t="str">
            <v>SCOM-SHCON</v>
          </cell>
          <cell r="H329">
            <v>0.50893660586945</v>
          </cell>
          <cell r="I329">
            <v>0.52276797455068569</v>
          </cell>
          <cell r="J329">
            <v>0.30224674984846006</v>
          </cell>
        </row>
        <row r="330">
          <cell r="A330" t="str">
            <v>SCOM-SHCONBR4</v>
          </cell>
          <cell r="B330" t="str">
            <v>VAR_fin</v>
          </cell>
          <cell r="C330" t="str">
            <v>CON</v>
          </cell>
          <cell r="H330">
            <v>0.50893660586945</v>
          </cell>
          <cell r="I330">
            <v>0.52276797455068569</v>
          </cell>
          <cell r="J330">
            <v>0.30224674984846006</v>
          </cell>
        </row>
        <row r="331">
          <cell r="A331" t="str">
            <v>SCOM-SHCONBR4</v>
          </cell>
          <cell r="B331" t="str">
            <v>VAR_ncap</v>
          </cell>
          <cell r="C331" t="str">
            <v>-</v>
          </cell>
          <cell r="H331"/>
          <cell r="I331"/>
          <cell r="J331">
            <v>1.44317195309287E-8</v>
          </cell>
        </row>
        <row r="332">
          <cell r="A332" t="str">
            <v>SCOM-SHCONBR4</v>
          </cell>
          <cell r="B332" t="str">
            <v>VAR_cap</v>
          </cell>
          <cell r="C332" t="str">
            <v>-</v>
          </cell>
          <cell r="H332">
            <v>4.0401755766956281E-2</v>
          </cell>
          <cell r="I332">
            <v>4.0401773339168431E-2</v>
          </cell>
          <cell r="J332">
            <v>2.335632304019734E-2</v>
          </cell>
        </row>
        <row r="333">
          <cell r="A333" t="str">
            <v>RHEM-SHNGABR</v>
          </cell>
          <cell r="B333" t="str">
            <v>VAR_fout</v>
          </cell>
          <cell r="C333" t="str">
            <v>CO2_R</v>
          </cell>
          <cell r="H333">
            <v>524.84671574441597</v>
          </cell>
          <cell r="I333">
            <v>191.33006776436901</v>
          </cell>
          <cell r="J333">
            <v>61.569957447775401</v>
          </cell>
        </row>
        <row r="334">
          <cell r="A334" t="str">
            <v>RHEM-SHNGABR</v>
          </cell>
          <cell r="B334" t="str">
            <v>VAR_fout</v>
          </cell>
          <cell r="C334" t="str">
            <v>RHEM-SHNGA</v>
          </cell>
          <cell r="H334">
            <v>8.775637302676019</v>
          </cell>
          <cell r="I334">
            <v>3.1991117204859658</v>
          </cell>
          <cell r="J334">
            <v>1.0294731758710098</v>
          </cell>
        </row>
        <row r="335">
          <cell r="A335" t="str">
            <v>RHEM-SHNGABR</v>
          </cell>
          <cell r="B335" t="str">
            <v>VAR_fin</v>
          </cell>
          <cell r="C335" t="str">
            <v>RNGA</v>
          </cell>
          <cell r="H335">
            <v>9.305792832347791</v>
          </cell>
          <cell r="I335">
            <v>3.392377088020726</v>
          </cell>
          <cell r="J335">
            <v>1.0916659121945989</v>
          </cell>
        </row>
        <row r="336">
          <cell r="A336" t="str">
            <v>RHEM-SHNGABR</v>
          </cell>
          <cell r="B336" t="str">
            <v>VAR_ncap</v>
          </cell>
          <cell r="C336" t="str">
            <v>-</v>
          </cell>
          <cell r="H336">
            <v>0.12997030591226999</v>
          </cell>
          <cell r="I336">
            <v>7.1057045076375905E-2</v>
          </cell>
          <cell r="J336">
            <v>2.0758233993942399E-8</v>
          </cell>
        </row>
        <row r="337">
          <cell r="A337" t="str">
            <v>RHEM-SHNGABR</v>
          </cell>
          <cell r="B337" t="str">
            <v>VAR_cap</v>
          </cell>
          <cell r="C337" t="str">
            <v>-</v>
          </cell>
          <cell r="H337">
            <v>0.61971220332688148</v>
          </cell>
          <cell r="I337">
            <v>0.22590628883263092</v>
          </cell>
          <cell r="J337">
            <v>0.10654469890505541</v>
          </cell>
        </row>
        <row r="338">
          <cell r="A338" t="str">
            <v>SCOM-SHCONBR5</v>
          </cell>
          <cell r="B338" t="str">
            <v>VAR_fout</v>
          </cell>
          <cell r="C338" t="str">
            <v>SCOM-SHCON</v>
          </cell>
          <cell r="H338">
            <v>0.63640240297314565</v>
          </cell>
          <cell r="I338">
            <v>0.65249599727628715</v>
          </cell>
          <cell r="J338">
            <v>0.37724275269540997</v>
          </cell>
        </row>
        <row r="339">
          <cell r="A339" t="str">
            <v>SCOM-SHCONBR5</v>
          </cell>
          <cell r="B339" t="str">
            <v>VAR_fin</v>
          </cell>
          <cell r="C339" t="str">
            <v>CON</v>
          </cell>
          <cell r="H339">
            <v>0.63640240297314565</v>
          </cell>
          <cell r="I339">
            <v>0.65249599727628715</v>
          </cell>
          <cell r="J339">
            <v>0.37724275269540997</v>
          </cell>
        </row>
        <row r="340">
          <cell r="A340" t="str">
            <v>SCOM-SHCONBR5</v>
          </cell>
          <cell r="B340" t="str">
            <v>VAR_ncap</v>
          </cell>
          <cell r="C340" t="str">
            <v>-</v>
          </cell>
          <cell r="H340"/>
          <cell r="I340"/>
          <cell r="J340">
            <v>1.12850577241773E-8</v>
          </cell>
        </row>
        <row r="341">
          <cell r="A341" t="str">
            <v>SCOM-SHCONBR5</v>
          </cell>
          <cell r="B341" t="str">
            <v>VAR_cap</v>
          </cell>
          <cell r="C341" t="str">
            <v>-</v>
          </cell>
          <cell r="H341">
            <v>5.0425925831382779E-2</v>
          </cell>
          <cell r="I341">
            <v>5.0425943399616521E-2</v>
          </cell>
          <cell r="J341">
            <v>2.9151302978729067E-2</v>
          </cell>
        </row>
        <row r="342">
          <cell r="A342" t="str">
            <v>RHES-SHSTG-ELCHP</v>
          </cell>
          <cell r="B342" t="str">
            <v>VAR_fout</v>
          </cell>
          <cell r="C342" t="str">
            <v>RHES-SHAELCH</v>
          </cell>
          <cell r="H342">
            <v>5.0727306384168571</v>
          </cell>
          <cell r="I342">
            <v>5.7257770744684926</v>
          </cell>
          <cell r="J342">
            <v>4.8132021710610733</v>
          </cell>
        </row>
        <row r="343">
          <cell r="A343" t="str">
            <v>RHES-SHSTG-ELCHP</v>
          </cell>
          <cell r="B343" t="str">
            <v>VAR_fout</v>
          </cell>
          <cell r="C343" t="str">
            <v>AUX_RHES-SHSTG-ELCHP_OUT</v>
          </cell>
          <cell r="H343">
            <v>5.0778033690552737</v>
          </cell>
          <cell r="I343">
            <v>5.7315028515429525</v>
          </cell>
          <cell r="J343">
            <v>4.8180153732321305</v>
          </cell>
        </row>
        <row r="344">
          <cell r="A344" t="str">
            <v>RHES-SHSTG-ELCHP</v>
          </cell>
          <cell r="B344" t="str">
            <v>VAR_fin</v>
          </cell>
          <cell r="C344" t="str">
            <v>RHES-SHAELCH</v>
          </cell>
          <cell r="H344">
            <v>5.0727307427783392</v>
          </cell>
          <cell r="I344">
            <v>5.7257780860084768</v>
          </cell>
          <cell r="J344">
            <v>4.8132022732530615</v>
          </cell>
        </row>
        <row r="345">
          <cell r="A345" t="str">
            <v>RHES-SHSTG-ELCHP</v>
          </cell>
          <cell r="B345" t="str">
            <v>VAR_ncap</v>
          </cell>
          <cell r="C345" t="str">
            <v>-</v>
          </cell>
          <cell r="H345">
            <v>0.142085981701252</v>
          </cell>
          <cell r="I345">
            <v>0.25018669346170602</v>
          </cell>
          <cell r="J345">
            <v>0.24454766143769299</v>
          </cell>
        </row>
        <row r="346">
          <cell r="A346" t="str">
            <v>RHES-SHSTG-ELCHP</v>
          </cell>
          <cell r="B346" t="str">
            <v>VAR_cap</v>
          </cell>
          <cell r="C346" t="str">
            <v>-</v>
          </cell>
          <cell r="H346">
            <v>0.44962851688161082</v>
          </cell>
          <cell r="I346">
            <v>0.49454899589382501</v>
          </cell>
          <cell r="J346">
            <v>0.48621430252233233</v>
          </cell>
        </row>
        <row r="347">
          <cell r="A347" t="str">
            <v>SCOM-SHCONBR6</v>
          </cell>
          <cell r="B347" t="str">
            <v>VAR_fout</v>
          </cell>
          <cell r="C347" t="str">
            <v>SCOM-SHCON</v>
          </cell>
          <cell r="H347">
            <v>2.2405273320525504E-5</v>
          </cell>
          <cell r="I347">
            <v>2.9062357643620469E-5</v>
          </cell>
          <cell r="J347">
            <v>3.4220927832082521E-5</v>
          </cell>
        </row>
        <row r="348">
          <cell r="A348" t="str">
            <v>SCOM-SHCONBR6</v>
          </cell>
          <cell r="B348" t="str">
            <v>VAR_fin</v>
          </cell>
          <cell r="C348" t="str">
            <v>CON</v>
          </cell>
          <cell r="H348">
            <v>2.2405273320525504E-5</v>
          </cell>
          <cell r="I348">
            <v>2.9062357643620469E-5</v>
          </cell>
          <cell r="J348">
            <v>3.4220927832082521E-5</v>
          </cell>
        </row>
        <row r="349">
          <cell r="A349" t="str">
            <v>SCOM-SHCONBR6</v>
          </cell>
          <cell r="B349" t="str">
            <v>VAR_ncap</v>
          </cell>
          <cell r="C349" t="str">
            <v>-</v>
          </cell>
          <cell r="H349">
            <v>3.15336131572092E-6</v>
          </cell>
          <cell r="I349">
            <v>2.41884363007363E-8</v>
          </cell>
          <cell r="J349">
            <v>2.9331883658813002E-8</v>
          </cell>
        </row>
        <row r="350">
          <cell r="A350" t="str">
            <v>SCOM-SHCONBR6</v>
          </cell>
          <cell r="B350" t="str">
            <v>VAR_cap</v>
          </cell>
          <cell r="C350" t="str">
            <v>-</v>
          </cell>
          <cell r="H350">
            <v>3.15336131572092E-6</v>
          </cell>
          <cell r="I350">
            <v>3.17754975202166E-6</v>
          </cell>
          <cell r="J350">
            <v>3.20688163568047E-6</v>
          </cell>
        </row>
        <row r="351">
          <cell r="A351" t="str">
            <v>RHNM-SHDEM</v>
          </cell>
          <cell r="B351" t="str">
            <v>VAR_fout</v>
          </cell>
          <cell r="C351" t="str">
            <v>RHNM-SHD</v>
          </cell>
          <cell r="H351">
            <v>4.2899762250985889</v>
          </cell>
          <cell r="I351">
            <v>4.9165335787232864</v>
          </cell>
          <cell r="J351">
            <v>5.3638516379596872</v>
          </cell>
        </row>
        <row r="352">
          <cell r="A352" t="str">
            <v>RHNM-SHDEM</v>
          </cell>
          <cell r="B352" t="str">
            <v>VAR_fin</v>
          </cell>
          <cell r="C352" t="str">
            <v>RHNM-SHLFO</v>
          </cell>
          <cell r="H352">
            <v>6.0653579524122626E-2</v>
          </cell>
          <cell r="I352">
            <v>3.5105530492582124E-2</v>
          </cell>
          <cell r="J352">
            <v>2.3826501217497172E-6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RHNM-SHLTHD</v>
          </cell>
          <cell r="H353">
            <v>0.253899280611531</v>
          </cell>
          <cell r="I353">
            <v>0.28045249174725778</v>
          </cell>
          <cell r="J353">
            <v>0.30485880028452039</v>
          </cell>
        </row>
        <row r="354">
          <cell r="A354" t="str">
            <v>RHNM-SHDEM</v>
          </cell>
          <cell r="B354" t="str">
            <v>VAR_fin</v>
          </cell>
          <cell r="C354" t="str">
            <v>RHNM-SHCON</v>
          </cell>
          <cell r="H354">
            <v>1.9941669733547536E-4</v>
          </cell>
          <cell r="I354">
            <v>2.3806784868706824E-3</v>
          </cell>
          <cell r="J354">
            <v>2.378163573915616E-3</v>
          </cell>
        </row>
        <row r="355">
          <cell r="A355" t="str">
            <v>RHNM-SHDEM</v>
          </cell>
          <cell r="B355" t="str">
            <v>VAR_fin</v>
          </cell>
          <cell r="C355" t="str">
            <v>RHNM-SHELCB</v>
          </cell>
          <cell r="H355">
            <v>1.783050024440379E-3</v>
          </cell>
          <cell r="I355">
            <v>1.9449917996661654E-3</v>
          </cell>
          <cell r="J355">
            <v>1.9305937731700171E-3</v>
          </cell>
        </row>
        <row r="356">
          <cell r="A356" t="str">
            <v>RHNM-SHDEM</v>
          </cell>
          <cell r="B356" t="str">
            <v>VAR_fin</v>
          </cell>
          <cell r="C356" t="str">
            <v>RHNM-SHWOD</v>
          </cell>
          <cell r="H356">
            <v>0.15417051309689223</v>
          </cell>
          <cell r="I356">
            <v>0.16062196715379401</v>
          </cell>
          <cell r="J356">
            <v>0.13901817887901183</v>
          </cell>
        </row>
        <row r="357">
          <cell r="A357" t="str">
            <v>RHNM-SHDEM</v>
          </cell>
          <cell r="B357" t="str">
            <v>VAR_fin</v>
          </cell>
          <cell r="C357" t="str">
            <v>RHNM-SHELCH</v>
          </cell>
          <cell r="H357">
            <v>2.5864642539098179</v>
          </cell>
          <cell r="I357">
            <v>3.025363206186845</v>
          </cell>
          <cell r="J357">
            <v>3.4922004787851804</v>
          </cell>
        </row>
        <row r="358">
          <cell r="A358" t="str">
            <v>RHNM-SHDEM</v>
          </cell>
          <cell r="B358" t="str">
            <v>VAR_fin</v>
          </cell>
          <cell r="C358" t="str">
            <v>RHNM-SHNST</v>
          </cell>
          <cell r="H358">
            <v>3.5490465407235852E-6</v>
          </cell>
          <cell r="I358">
            <v>8.0605630396808083E-5</v>
          </cell>
          <cell r="J358">
            <v>1.1130004160140119E-4</v>
          </cell>
        </row>
        <row r="359">
          <cell r="A359" t="str">
            <v>RHNM-SHDEM</v>
          </cell>
          <cell r="B359" t="str">
            <v>VAR_fin</v>
          </cell>
          <cell r="C359" t="str">
            <v>RHNM-SHPLT</v>
          </cell>
          <cell r="H359">
            <v>4.1241087782839504E-2</v>
          </cell>
          <cell r="I359">
            <v>4.5131686532928962E-2</v>
          </cell>
          <cell r="J359">
            <v>4.6710209378475531E-2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RHNM-SHLTHC-NGA</v>
          </cell>
          <cell r="H360">
            <v>2.1168212362627932E-5</v>
          </cell>
          <cell r="I360">
            <v>6.6532580589021134E-6</v>
          </cell>
          <cell r="J360">
            <v>4.6086276541620955E-5</v>
          </cell>
        </row>
        <row r="361">
          <cell r="A361" t="str">
            <v>RHNM-SHDEM</v>
          </cell>
          <cell r="B361" t="str">
            <v>VAR_fin</v>
          </cell>
          <cell r="C361" t="str">
            <v>RHNM-SHSOL</v>
          </cell>
          <cell r="H361">
            <v>1.6124108778441725E-4</v>
          </cell>
          <cell r="I361">
            <v>2.921401569168096E-4</v>
          </cell>
          <cell r="J361">
            <v>6.226651207880098E-4</v>
          </cell>
        </row>
        <row r="362">
          <cell r="A362" t="str">
            <v>RHNM-SHDEM</v>
          </cell>
          <cell r="B362" t="str">
            <v>VAR_fin</v>
          </cell>
          <cell r="C362" t="str">
            <v>RHNM-SHLTHC-WOD</v>
          </cell>
          <cell r="H362">
            <v>1.3175235057093547E-5</v>
          </cell>
          <cell r="I362">
            <v>5.8985156653622378E-6</v>
          </cell>
          <cell r="J362">
            <v>8.0235035658755733E-6</v>
          </cell>
        </row>
        <row r="363">
          <cell r="A363" t="str">
            <v>RHNM-SHDEM</v>
          </cell>
          <cell r="B363" t="str">
            <v>VAR_fin</v>
          </cell>
          <cell r="C363" t="str">
            <v>RHNM-SHNGAH</v>
          </cell>
          <cell r="H363">
            <v>1.0741119141048663</v>
          </cell>
          <cell r="I363">
            <v>1.3005560136895162</v>
          </cell>
          <cell r="J363">
            <v>1.3759514473810237</v>
          </cell>
        </row>
        <row r="364">
          <cell r="A364" t="str">
            <v>RHNM-SHDEM</v>
          </cell>
          <cell r="B364" t="str">
            <v>VAR_fin</v>
          </cell>
          <cell r="C364" t="str">
            <v>RHNM-SHNGA</v>
          </cell>
          <cell r="H364">
            <v>0.11725753183979606</v>
          </cell>
          <cell r="I364">
            <v>6.4594561483447957E-2</v>
          </cell>
          <cell r="J364">
            <v>1.5159005575778791E-5</v>
          </cell>
        </row>
        <row r="365">
          <cell r="A365" t="str">
            <v>SCOM-STG-ELCSPEC</v>
          </cell>
          <cell r="B365" t="str">
            <v>VAR_fout</v>
          </cell>
          <cell r="C365" t="str">
            <v>SCOM-ELS</v>
          </cell>
          <cell r="H365">
            <v>3.4724780507989863E-3</v>
          </cell>
          <cell r="I365">
            <v>1.4663890133417097E-2</v>
          </cell>
          <cell r="J365">
            <v>5.1185565814635854E-2</v>
          </cell>
        </row>
        <row r="366">
          <cell r="A366" t="str">
            <v>SCOM-STG-ELCSPEC</v>
          </cell>
          <cell r="B366" t="str">
            <v>VAR_fin</v>
          </cell>
          <cell r="C366" t="str">
            <v>SCOM-ELS</v>
          </cell>
          <cell r="H366">
            <v>3.4724910639817373E-3</v>
          </cell>
          <cell r="I366">
            <v>1.466389848197871E-2</v>
          </cell>
          <cell r="J366">
            <v>5.1185574442030146E-2</v>
          </cell>
        </row>
        <row r="367">
          <cell r="A367" t="str">
            <v>SCOM-STG-ELCSPEC</v>
          </cell>
          <cell r="B367" t="str">
            <v>VAR_ncap</v>
          </cell>
          <cell r="C367" t="str">
            <v>-</v>
          </cell>
          <cell r="H367">
            <v>4.6470586394677397E-5</v>
          </cell>
          <cell r="I367">
            <v>4.1966446069834898E-4</v>
          </cell>
          <cell r="J367">
            <v>1.29271327755178E-3</v>
          </cell>
        </row>
        <row r="368">
          <cell r="A368" t="str">
            <v>SCOM-STG-ELCSPEC</v>
          </cell>
          <cell r="B368" t="str">
            <v>VAR_cap</v>
          </cell>
          <cell r="C368" t="str">
            <v>-</v>
          </cell>
          <cell r="H368">
            <v>1.2869150112147201E-4</v>
          </cell>
          <cell r="I368">
            <v>5.0976817392838197E-4</v>
          </cell>
          <cell r="J368">
            <v>1.749454324639976E-3</v>
          </cell>
        </row>
        <row r="369">
          <cell r="A369" t="str">
            <v>SCOM-SHCONBR7</v>
          </cell>
          <cell r="B369" t="str">
            <v>VAR_fout</v>
          </cell>
          <cell r="C369" t="str">
            <v>SCOM-SHCON</v>
          </cell>
          <cell r="H369"/>
          <cell r="I369"/>
          <cell r="J369">
            <v>1.6214783715216629E-5</v>
          </cell>
        </row>
        <row r="370">
          <cell r="A370" t="str">
            <v>SCOM-SHCONBR7</v>
          </cell>
          <cell r="B370" t="str">
            <v>VAR_fin</v>
          </cell>
          <cell r="C370" t="str">
            <v>CON</v>
          </cell>
          <cell r="H370"/>
          <cell r="I370"/>
          <cell r="J370">
            <v>1.6214783715216629E-5</v>
          </cell>
        </row>
        <row r="371">
          <cell r="A371" t="str">
            <v>SCOM-SHCONBR7</v>
          </cell>
          <cell r="B371" t="str">
            <v>VAR_ncap</v>
          </cell>
          <cell r="C371" t="str">
            <v>-</v>
          </cell>
          <cell r="H371"/>
          <cell r="I371"/>
          <cell r="J371">
            <v>1.6519281032037099E-6</v>
          </cell>
        </row>
        <row r="372">
          <cell r="A372" t="str">
            <v>SCOM-SHCONBR7</v>
          </cell>
          <cell r="B372" t="str">
            <v>VAR_cap</v>
          </cell>
          <cell r="C372" t="str">
            <v>-</v>
          </cell>
          <cell r="H372"/>
          <cell r="I372"/>
          <cell r="J372">
            <v>1.6519281032037099E-6</v>
          </cell>
        </row>
        <row r="373">
          <cell r="A373" t="str">
            <v>SCOM-SHCONBR8</v>
          </cell>
          <cell r="B373" t="str">
            <v>VAR_fout</v>
          </cell>
          <cell r="C373" t="str">
            <v>SCOM-SHCON</v>
          </cell>
          <cell r="H373"/>
          <cell r="I373"/>
          <cell r="J373">
            <v>4.85853629866392E-6</v>
          </cell>
        </row>
        <row r="374">
          <cell r="A374" t="str">
            <v>SCOM-SHCONBR8</v>
          </cell>
          <cell r="B374" t="str">
            <v>VAR_fin</v>
          </cell>
          <cell r="C374" t="str">
            <v>CON</v>
          </cell>
          <cell r="H374"/>
          <cell r="I374"/>
          <cell r="J374">
            <v>4.85853629866392E-6</v>
          </cell>
        </row>
        <row r="375">
          <cell r="A375" t="str">
            <v>SCOM-SHCONBR8</v>
          </cell>
          <cell r="B375" t="str">
            <v>VAR_ncap</v>
          </cell>
          <cell r="C375" t="str">
            <v>-</v>
          </cell>
          <cell r="H375"/>
          <cell r="I375"/>
          <cell r="J375">
            <v>6.4917128113026496E-7</v>
          </cell>
        </row>
        <row r="376">
          <cell r="A376" t="str">
            <v>SCOM-SHCONBR8</v>
          </cell>
          <cell r="B376" t="str">
            <v>VAR_cap</v>
          </cell>
          <cell r="C376" t="str">
            <v>-</v>
          </cell>
          <cell r="H376"/>
          <cell r="I376"/>
          <cell r="J376">
            <v>6.4917128113026496E-7</v>
          </cell>
        </row>
        <row r="377">
          <cell r="A377" t="str">
            <v>ITOT-ELCSPEC</v>
          </cell>
          <cell r="B377" t="str">
            <v>VAR_fout</v>
          </cell>
          <cell r="C377" t="str">
            <v>ITOT-ELS</v>
          </cell>
          <cell r="H377">
            <v>52.335979108256645</v>
          </cell>
          <cell r="I377">
            <v>51.352638698774889</v>
          </cell>
          <cell r="J377">
            <v>52.48369377548147</v>
          </cell>
        </row>
        <row r="378">
          <cell r="A378" t="str">
            <v>ITOT-ELCSPEC</v>
          </cell>
          <cell r="B378" t="str">
            <v>VAR_fin</v>
          </cell>
          <cell r="C378" t="str">
            <v>ITOT_ELC</v>
          </cell>
          <cell r="H378">
            <v>52.335979108256645</v>
          </cell>
          <cell r="I378">
            <v>51.352638698774889</v>
          </cell>
          <cell r="J378">
            <v>52.48369377548147</v>
          </cell>
        </row>
        <row r="379">
          <cell r="A379" t="str">
            <v>ITOT-ELCSPEC</v>
          </cell>
          <cell r="B379" t="str">
            <v>VAR_ncap</v>
          </cell>
          <cell r="C379" t="str">
            <v>-</v>
          </cell>
          <cell r="H379">
            <v>1.68556455806276E-7</v>
          </cell>
          <cell r="I379">
            <v>1.9348871838214199E-7</v>
          </cell>
          <cell r="J379">
            <v>2.5201628934071101</v>
          </cell>
        </row>
        <row r="380">
          <cell r="A380" t="str">
            <v>ITOT-ELCSPEC</v>
          </cell>
          <cell r="B380" t="str">
            <v>VAR_cap</v>
          </cell>
          <cell r="C380" t="str">
            <v>-</v>
          </cell>
          <cell r="H380">
            <v>2.8461793688928201</v>
          </cell>
          <cell r="I380">
            <v>2.792702519203786</v>
          </cell>
          <cell r="J380">
            <v>2.8542123275468905</v>
          </cell>
        </row>
        <row r="381">
          <cell r="A381" t="str">
            <v>RHNM-SHLTHDH</v>
          </cell>
          <cell r="B381" t="str">
            <v>VAR_fout</v>
          </cell>
          <cell r="C381" t="str">
            <v>RHNM-SHLTHD</v>
          </cell>
          <cell r="H381">
            <v>0.25393579434235464</v>
          </cell>
          <cell r="I381">
            <v>0.28058085108321912</v>
          </cell>
          <cell r="J381">
            <v>0.30511504370324993</v>
          </cell>
        </row>
        <row r="382">
          <cell r="A382" t="str">
            <v>RHNM-SHLTHDH</v>
          </cell>
          <cell r="B382" t="str">
            <v>VAR_fin</v>
          </cell>
          <cell r="C382" t="str">
            <v>RHNMLTHDHC</v>
          </cell>
          <cell r="H382">
            <v>0.25393579434235464</v>
          </cell>
          <cell r="I382">
            <v>0.28058085108321912</v>
          </cell>
          <cell r="J382">
            <v>0.30511504370324993</v>
          </cell>
        </row>
        <row r="383">
          <cell r="A383" t="str">
            <v>RHNM-SHLTHDH</v>
          </cell>
          <cell r="B383" t="str">
            <v>VAR_fin</v>
          </cell>
          <cell r="C383" t="str">
            <v>RHNM_LTH_DH</v>
          </cell>
          <cell r="H383">
            <v>0.27941292690371383</v>
          </cell>
          <cell r="I383">
            <v>0.30849886232908558</v>
          </cell>
          <cell r="J383">
            <v>0.33547422605124305</v>
          </cell>
        </row>
        <row r="384">
          <cell r="A384" t="str">
            <v>RHNM-SHLTHDH</v>
          </cell>
          <cell r="B384" t="str">
            <v>VAR_ncap</v>
          </cell>
          <cell r="C384" t="str">
            <v>-</v>
          </cell>
          <cell r="H384">
            <v>1.95494997915651E-2</v>
          </cell>
          <cell r="I384">
            <v>4.4987023618083301E-3</v>
          </cell>
          <cell r="J384">
            <v>3.28700232120514E-3</v>
          </cell>
        </row>
        <row r="385">
          <cell r="A385" t="str">
            <v>RHNM-SHLTHDH</v>
          </cell>
          <cell r="B385" t="str">
            <v>VAR_cap</v>
          </cell>
          <cell r="C385" t="str">
            <v>-</v>
          </cell>
          <cell r="H385">
            <v>3.8178411257596301E-2</v>
          </cell>
          <cell r="I385">
            <v>3.5604015449563702E-2</v>
          </cell>
          <cell r="J385">
            <v>3.2003795718727503E-2</v>
          </cell>
        </row>
        <row r="386">
          <cell r="A386" t="str">
            <v>SCOM-SHCONBR9</v>
          </cell>
          <cell r="B386" t="str">
            <v>VAR_fout</v>
          </cell>
          <cell r="C386" t="str">
            <v>SCOM-SHCON</v>
          </cell>
          <cell r="H386"/>
          <cell r="I386"/>
          <cell r="J386">
            <v>1.4102844123364191E-6</v>
          </cell>
        </row>
        <row r="387">
          <cell r="A387" t="str">
            <v>SCOM-SHCONBR9</v>
          </cell>
          <cell r="B387" t="str">
            <v>VAR_fin</v>
          </cell>
          <cell r="C387" t="str">
            <v>CON</v>
          </cell>
          <cell r="H387"/>
          <cell r="I387"/>
          <cell r="J387">
            <v>1.4102844123364191E-6</v>
          </cell>
        </row>
        <row r="388">
          <cell r="A388" t="str">
            <v>SCOM-SHCONBR9</v>
          </cell>
          <cell r="B388" t="str">
            <v>VAR_ncap</v>
          </cell>
          <cell r="C388" t="str">
            <v>-</v>
          </cell>
          <cell r="H388"/>
          <cell r="I388"/>
          <cell r="J388">
            <v>2.4158425253980599E-7</v>
          </cell>
        </row>
        <row r="389">
          <cell r="A389" t="str">
            <v>SCOM-SHCONBR9</v>
          </cell>
          <cell r="B389" t="str">
            <v>VAR_cap</v>
          </cell>
          <cell r="C389" t="str">
            <v>-</v>
          </cell>
          <cell r="H389"/>
          <cell r="I389"/>
          <cell r="J389">
            <v>2.4158425253980599E-7</v>
          </cell>
        </row>
        <row r="390">
          <cell r="A390" t="str">
            <v>ITOT-SWHCOABR</v>
          </cell>
          <cell r="B390" t="str">
            <v>VAR_fout</v>
          </cell>
          <cell r="C390" t="str">
            <v>ITOT-SWH</v>
          </cell>
          <cell r="H390">
            <v>5.127321059756583E-5</v>
          </cell>
          <cell r="I390">
            <v>1.7197498635421974E-4</v>
          </cell>
          <cell r="J390">
            <v>4.2754029083164795E-5</v>
          </cell>
        </row>
        <row r="391">
          <cell r="A391" t="str">
            <v>ITOT-SWHCOABR</v>
          </cell>
          <cell r="B391" t="str">
            <v>VAR_fout</v>
          </cell>
          <cell r="C391" t="str">
            <v>CO2_I</v>
          </cell>
          <cell r="H391">
            <v>7.0676975797685599E-3</v>
          </cell>
          <cell r="I391">
            <v>2.3617898125979499E-2</v>
          </cell>
          <cell r="J391">
            <v>5.8283801411902498E-3</v>
          </cell>
        </row>
        <row r="392">
          <cell r="A392" t="str">
            <v>ITOT-SWHCOABR</v>
          </cell>
          <cell r="B392" t="str">
            <v>VAR_fin</v>
          </cell>
          <cell r="C392" t="str">
            <v>ICOA</v>
          </cell>
          <cell r="H392">
            <v>7.624269233838792E-5</v>
          </cell>
          <cell r="I392">
            <v>2.5477775756180704E-4</v>
          </cell>
          <cell r="J392">
            <v>6.2873572181124671E-5</v>
          </cell>
        </row>
        <row r="393">
          <cell r="A393" t="str">
            <v>ITOT-SWHCOABR</v>
          </cell>
          <cell r="B393" t="str">
            <v>VAR_ncap</v>
          </cell>
          <cell r="C393" t="str">
            <v>-</v>
          </cell>
          <cell r="H393">
            <v>4.0022378443703296E-6</v>
          </cell>
          <cell r="I393">
            <v>1.20360936932269E-5</v>
          </cell>
          <cell r="J393">
            <v>2.74212965292348E-7</v>
          </cell>
        </row>
        <row r="394">
          <cell r="A394" t="str">
            <v>ITOT-SWHCOABR</v>
          </cell>
          <cell r="B394" t="str">
            <v>VAR_cap</v>
          </cell>
          <cell r="C394" t="str">
            <v>-</v>
          </cell>
          <cell r="H394">
            <v>4.8583489098835697E-6</v>
          </cell>
          <cell r="I394">
            <v>1.6016362613958653E-5</v>
          </cell>
          <cell r="J394">
            <v>4.0497489539491398E-6</v>
          </cell>
        </row>
        <row r="395">
          <cell r="A395" t="str">
            <v>RHSA-WHDEM</v>
          </cell>
          <cell r="B395" t="str">
            <v>VAR_fout</v>
          </cell>
          <cell r="C395" t="str">
            <v>RHSA-WHD</v>
          </cell>
          <cell r="H395">
            <v>25.60263682798778</v>
          </cell>
          <cell r="I395">
            <v>28.644910894995181</v>
          </cell>
          <cell r="J395">
            <v>30.88361242882581</v>
          </cell>
        </row>
        <row r="396">
          <cell r="A396" t="str">
            <v>RHSA-WHDEM</v>
          </cell>
          <cell r="B396" t="str">
            <v>VAR_fin</v>
          </cell>
          <cell r="C396" t="str">
            <v>RHSA-WHNGA</v>
          </cell>
          <cell r="H396">
            <v>2.1327042845219317</v>
          </cell>
          <cell r="I396">
            <v>1.1686442071707883</v>
          </cell>
          <cell r="J396">
            <v>0.46873369623402705</v>
          </cell>
        </row>
        <row r="397">
          <cell r="A397" t="str">
            <v>RHSA-WHDEM</v>
          </cell>
          <cell r="B397" t="str">
            <v>VAR_fin</v>
          </cell>
          <cell r="C397" t="str">
            <v>RHSA-WHLFO</v>
          </cell>
          <cell r="H397">
            <v>1.3227166100538243</v>
          </cell>
          <cell r="I397">
            <v>0.63074732423951418</v>
          </cell>
          <cell r="J397">
            <v>4.3654686140492137E-2</v>
          </cell>
        </row>
        <row r="398">
          <cell r="A398" t="str">
            <v>RHSA-WHDEM</v>
          </cell>
          <cell r="B398" t="str">
            <v>VAR_fin</v>
          </cell>
          <cell r="C398" t="str">
            <v>RHSA-WHWOD</v>
          </cell>
          <cell r="H398">
            <v>1.2270651698944501</v>
          </cell>
          <cell r="I398">
            <v>1.1745052674449983</v>
          </cell>
          <cell r="J398">
            <v>0.8981995625466449</v>
          </cell>
        </row>
        <row r="399">
          <cell r="A399" t="str">
            <v>RHSA-WHDEM</v>
          </cell>
          <cell r="B399" t="str">
            <v>VAR_fin</v>
          </cell>
          <cell r="C399" t="str">
            <v>RHSA-WHNGAH</v>
          </cell>
          <cell r="H399">
            <v>2.8606392403434246</v>
          </cell>
          <cell r="I399">
            <v>3.7393332350172486</v>
          </cell>
          <cell r="J399">
            <v>4.1250539814878753</v>
          </cell>
        </row>
        <row r="400">
          <cell r="A400" t="str">
            <v>RHSA-WHDEM</v>
          </cell>
          <cell r="B400" t="str">
            <v>VAR_fin</v>
          </cell>
          <cell r="C400" t="str">
            <v>RHSA-WHNST</v>
          </cell>
          <cell r="H400"/>
          <cell r="I400"/>
          <cell r="J400"/>
        </row>
        <row r="401">
          <cell r="A401" t="str">
            <v>RHSA-WHDEM</v>
          </cell>
          <cell r="B401" t="str">
            <v>VAR_fin</v>
          </cell>
          <cell r="C401" t="str">
            <v>RHSA-WHPLT</v>
          </cell>
          <cell r="H401">
            <v>0.19066558959683372</v>
          </cell>
          <cell r="I401">
            <v>0.21859604087686285</v>
          </cell>
          <cell r="J401">
            <v>0.21774753406505284</v>
          </cell>
        </row>
        <row r="402">
          <cell r="A402" t="str">
            <v>RHSA-WHDEM</v>
          </cell>
          <cell r="B402" t="str">
            <v>VAR_fin</v>
          </cell>
          <cell r="C402" t="str">
            <v>RHSA-WHLTHRD</v>
          </cell>
          <cell r="H402">
            <v>1.5933288698013437</v>
          </cell>
          <cell r="I402">
            <v>1.8250565957879483</v>
          </cell>
          <cell r="J402">
            <v>1.9855679300630209</v>
          </cell>
        </row>
        <row r="403">
          <cell r="A403" t="str">
            <v>RHSA-WHDEM</v>
          </cell>
          <cell r="B403" t="str">
            <v>VAR_fin</v>
          </cell>
          <cell r="C403" t="str">
            <v>RHSA-WHELCB</v>
          </cell>
          <cell r="H403">
            <v>1.999366812880129</v>
          </cell>
          <cell r="I403">
            <v>1.8906018659737946</v>
          </cell>
          <cell r="J403">
            <v>1.6792256144267317</v>
          </cell>
        </row>
        <row r="404">
          <cell r="A404" t="str">
            <v>RHSA-WHDEM</v>
          </cell>
          <cell r="B404" t="str">
            <v>VAR_fin</v>
          </cell>
          <cell r="C404" t="str">
            <v>RHSA-WHSOL</v>
          </cell>
          <cell r="H404">
            <v>1.4923788389756472</v>
          </cell>
          <cell r="I404">
            <v>1.803303349121413</v>
          </cell>
          <cell r="J404">
            <v>2.0823437625567669</v>
          </cell>
        </row>
        <row r="405">
          <cell r="A405" t="str">
            <v>RHSA-WHDEM</v>
          </cell>
          <cell r="B405" t="str">
            <v>VAR_fin</v>
          </cell>
          <cell r="C405" t="str">
            <v>RHSA-WHELCH</v>
          </cell>
          <cell r="H405">
            <v>12.783772871447427</v>
          </cell>
          <cell r="I405">
            <v>16.19412409443925</v>
          </cell>
          <cell r="J405">
            <v>19.383086573370282</v>
          </cell>
        </row>
        <row r="406">
          <cell r="A406" t="str">
            <v>RHSA-WHNGAHP</v>
          </cell>
          <cell r="B406" t="str">
            <v>VAR_fout</v>
          </cell>
          <cell r="C406" t="str">
            <v>RHSA-WHANGAH</v>
          </cell>
          <cell r="H406">
            <v>2.8606393337439444</v>
          </cell>
          <cell r="I406">
            <v>3.7393332800902757</v>
          </cell>
          <cell r="J406">
            <v>4.125054135109079</v>
          </cell>
        </row>
        <row r="407">
          <cell r="A407" t="str">
            <v>RHSA-WHNGAHP</v>
          </cell>
          <cell r="B407" t="str">
            <v>VAR_fout</v>
          </cell>
          <cell r="C407" t="str">
            <v>CO2_R</v>
          </cell>
          <cell r="H407">
            <v>64.414597220953695</v>
          </cell>
          <cell r="I407">
            <v>79.354520923663301</v>
          </cell>
          <cell r="J407">
            <v>73.274525082223903</v>
          </cell>
        </row>
        <row r="408">
          <cell r="A408" t="str">
            <v>RHSA-WHNGAHP</v>
          </cell>
          <cell r="B408" t="str">
            <v>VAR_fin</v>
          </cell>
          <cell r="C408" t="str">
            <v>RNGA</v>
          </cell>
          <cell r="H408">
            <v>1.1421027876055627</v>
          </cell>
          <cell r="I408">
            <v>1.4069950518380003</v>
          </cell>
          <cell r="J408">
            <v>1.2991937071316295</v>
          </cell>
        </row>
        <row r="409">
          <cell r="A409" t="str">
            <v>RHSA-WHNGAHP</v>
          </cell>
          <cell r="B409" t="str">
            <v>VAR_ncap</v>
          </cell>
          <cell r="C409" t="str">
            <v>-</v>
          </cell>
          <cell r="H409">
            <v>8.06318090004539E-2</v>
          </cell>
          <cell r="I409">
            <v>0.12586228934145699</v>
          </cell>
          <cell r="J409">
            <v>0.15656856394410901</v>
          </cell>
        </row>
        <row r="410">
          <cell r="A410" t="str">
            <v>RHSA-WHNGAHP</v>
          </cell>
          <cell r="B410" t="str">
            <v>VAR_cap</v>
          </cell>
          <cell r="C410" t="str">
            <v>-</v>
          </cell>
          <cell r="H410">
            <v>0.19552428542768399</v>
          </cell>
          <cell r="I410">
            <v>0.25558264433947048</v>
          </cell>
          <cell r="J410">
            <v>0.28201786130865852</v>
          </cell>
        </row>
        <row r="411">
          <cell r="A411" t="str">
            <v>SCOM-SHSTG-ELCHP</v>
          </cell>
          <cell r="B411" t="str">
            <v>VAR_fout</v>
          </cell>
          <cell r="C411" t="str">
            <v>SCOM-SHAELCH</v>
          </cell>
          <cell r="H411">
            <v>4.8681565971040341E-2</v>
          </cell>
          <cell r="I411">
            <v>1.6064568635553598</v>
          </cell>
          <cell r="J411">
            <v>1.5308225264359572</v>
          </cell>
        </row>
        <row r="412">
          <cell r="A412" t="str">
            <v>SCOM-SHSTG-ELCHP</v>
          </cell>
          <cell r="B412" t="str">
            <v>VAR_fin</v>
          </cell>
          <cell r="C412" t="str">
            <v>SCOM-SHAELCH</v>
          </cell>
          <cell r="H412">
            <v>5.9058207484401735E-2</v>
          </cell>
          <cell r="I412">
            <v>1.8900705583812611</v>
          </cell>
          <cell r="J412">
            <v>1.7010057993583767</v>
          </cell>
        </row>
        <row r="413">
          <cell r="A413" t="str">
            <v>SCOM-SHSTG-ELCHP</v>
          </cell>
          <cell r="B413" t="str">
            <v>VAR_ncap</v>
          </cell>
          <cell r="C413" t="str">
            <v>-</v>
          </cell>
          <cell r="H413">
            <v>0.13980113796980301</v>
          </cell>
          <cell r="I413">
            <v>0.201050982147608</v>
          </cell>
          <cell r="J413">
            <v>0.27570237784962098</v>
          </cell>
        </row>
        <row r="414">
          <cell r="A414" t="str">
            <v>SCOM-SHSTG-ELCHP</v>
          </cell>
          <cell r="B414" t="str">
            <v>VAR_cap</v>
          </cell>
          <cell r="C414" t="str">
            <v>-</v>
          </cell>
          <cell r="H414">
            <v>0.33580725081127749</v>
          </cell>
          <cell r="I414">
            <v>0.43944569922082666</v>
          </cell>
          <cell r="J414">
            <v>0.48074079170153616</v>
          </cell>
        </row>
        <row r="415">
          <cell r="A415" t="str">
            <v>RHEM-SHLFOBR</v>
          </cell>
          <cell r="B415" t="str">
            <v>VAR_fout</v>
          </cell>
          <cell r="C415" t="str">
            <v>CO2_R</v>
          </cell>
          <cell r="H415">
            <v>562.70975924256402</v>
          </cell>
          <cell r="I415">
            <v>204.288630616402</v>
          </cell>
          <cell r="J415">
            <v>22.155581704824201</v>
          </cell>
        </row>
        <row r="416">
          <cell r="A416" t="str">
            <v>RHEM-SHLFOBR</v>
          </cell>
          <cell r="B416" t="str">
            <v>VAR_fout</v>
          </cell>
          <cell r="C416" t="str">
            <v>RHEM-SHLFO</v>
          </cell>
          <cell r="H416">
            <v>6.6437924440093896</v>
          </cell>
          <cell r="I416">
            <v>2.4119916852219001</v>
          </cell>
          <cell r="J416">
            <v>0.26158616214738889</v>
          </cell>
        </row>
        <row r="417">
          <cell r="A417" t="str">
            <v>RHEM-SHLFOBR</v>
          </cell>
          <cell r="B417" t="str">
            <v>VAR_fin</v>
          </cell>
          <cell r="C417" t="str">
            <v>RLFO</v>
          </cell>
          <cell r="H417">
            <v>7.635139202748495</v>
          </cell>
          <cell r="I417">
            <v>2.7718945809552582</v>
          </cell>
          <cell r="J417">
            <v>0.30061847632054511</v>
          </cell>
        </row>
        <row r="418">
          <cell r="A418" t="str">
            <v>RHEM-SHLFOBR</v>
          </cell>
          <cell r="B418" t="str">
            <v>VAR_ncap</v>
          </cell>
          <cell r="C418" t="str">
            <v>-</v>
          </cell>
          <cell r="H418">
            <v>5.6699939682826203E-2</v>
          </cell>
          <cell r="I418">
            <v>0.113622278162923</v>
          </cell>
          <cell r="J418">
            <v>1.2344062252985199E-8</v>
          </cell>
        </row>
        <row r="419">
          <cell r="A419" t="str">
            <v>RHEM-SHLFOBR</v>
          </cell>
          <cell r="B419" t="str">
            <v>VAR_cap</v>
          </cell>
          <cell r="C419" t="str">
            <v>-</v>
          </cell>
          <cell r="H419">
            <v>0.46917152167318837</v>
          </cell>
          <cell r="I419">
            <v>0.17032223062262142</v>
          </cell>
          <cell r="J419">
            <v>2.9809036572544495E-2</v>
          </cell>
        </row>
        <row r="420">
          <cell r="A420" t="str">
            <v>RHES-SHNGAHP</v>
          </cell>
          <cell r="B420" t="str">
            <v>VAR_fout</v>
          </cell>
          <cell r="C420" t="str">
            <v>RHES-SHANGAH</v>
          </cell>
          <cell r="H420">
            <v>1.3669708781406511</v>
          </cell>
          <cell r="I420">
            <v>1.292883139420947</v>
          </cell>
          <cell r="J420">
            <v>1.0504131944613959</v>
          </cell>
        </row>
        <row r="421">
          <cell r="A421" t="str">
            <v>RHES-SHNGAHP</v>
          </cell>
          <cell r="B421" t="str">
            <v>VAR_fout</v>
          </cell>
          <cell r="C421" t="str">
            <v>CO2_R</v>
          </cell>
          <cell r="H421">
            <v>40.810676969603797</v>
          </cell>
          <cell r="I421">
            <v>36.985846298365402</v>
          </cell>
          <cell r="J421">
            <v>27.977291696985201</v>
          </cell>
        </row>
        <row r="422">
          <cell r="A422" t="str">
            <v>RHES-SHNGAHP</v>
          </cell>
          <cell r="B422" t="str">
            <v>VAR_fin</v>
          </cell>
          <cell r="C422" t="str">
            <v>RHESELCHPC</v>
          </cell>
          <cell r="H422">
            <v>1.3669708781406511</v>
          </cell>
          <cell r="I422">
            <v>1.292883139420947</v>
          </cell>
          <cell r="J422">
            <v>1.0504131944613959</v>
          </cell>
        </row>
        <row r="423">
          <cell r="A423" t="str">
            <v>RHES-SHNGAHP</v>
          </cell>
          <cell r="B423" t="str">
            <v>VAR_fin</v>
          </cell>
          <cell r="C423" t="str">
            <v>RNGA</v>
          </cell>
          <cell r="H423">
            <v>0.72359356329084845</v>
          </cell>
          <cell r="I423">
            <v>0.65577741663768452</v>
          </cell>
          <cell r="J423">
            <v>0.49605127122314147</v>
          </cell>
        </row>
        <row r="424">
          <cell r="A424" t="str">
            <v>RHES-SHNGAHP</v>
          </cell>
          <cell r="B424" t="str">
            <v>VAR_ncap</v>
          </cell>
          <cell r="C424" t="str">
            <v>-</v>
          </cell>
          <cell r="H424">
            <v>1.2885788461869301E-8</v>
          </cell>
          <cell r="I424">
            <v>8.2356820489412799E-2</v>
          </cell>
          <cell r="J424">
            <v>2.5240594001010998E-2</v>
          </cell>
        </row>
        <row r="425">
          <cell r="A425" t="str">
            <v>RHES-SHNGAHP</v>
          </cell>
          <cell r="B425" t="str">
            <v>VAR_cap</v>
          </cell>
          <cell r="C425" t="str">
            <v>-</v>
          </cell>
          <cell r="H425">
            <v>0.12473868055181689</v>
          </cell>
          <cell r="I425">
            <v>0.10445079526984218</v>
          </cell>
          <cell r="J425">
            <v>8.5009705000613306E-2</v>
          </cell>
        </row>
        <row r="426">
          <cell r="A426" t="str">
            <v>D-RHES_LTH_CHPWOD</v>
          </cell>
          <cell r="B426" t="str">
            <v>VAR_fout</v>
          </cell>
          <cell r="C426" t="str">
            <v>RHES_LTH_CHPWOD_ON</v>
          </cell>
          <cell r="H426">
            <v>1.2273375049186311E-4</v>
          </cell>
          <cell r="I426">
            <v>1.500689881321629E-4</v>
          </cell>
        </row>
        <row r="427">
          <cell r="A427" t="str">
            <v>D-RHES_LTH_CHPWOD</v>
          </cell>
          <cell r="B427" t="str">
            <v>VAR_fout</v>
          </cell>
          <cell r="C427" t="str">
            <v>RHSA_LTH</v>
          </cell>
          <cell r="H427">
            <v>1.4435583248601061E-4</v>
          </cell>
          <cell r="I427">
            <v>1.2207933187628246E-4</v>
          </cell>
          <cell r="J427">
            <v>1.125540765708673E-4</v>
          </cell>
        </row>
        <row r="428">
          <cell r="A428" t="str">
            <v>D-RHES_LTH_CHPWOD</v>
          </cell>
          <cell r="B428" t="str">
            <v>VAR_fin</v>
          </cell>
          <cell r="C428" t="str">
            <v>RHES_LTH_CHPWOD</v>
          </cell>
          <cell r="H428">
            <v>2.6734260355277417E-4</v>
          </cell>
          <cell r="I428">
            <v>2.7249497028187554E-4</v>
          </cell>
          <cell r="J428">
            <v>1.1276856971785097E-4</v>
          </cell>
        </row>
        <row r="429">
          <cell r="A429" t="str">
            <v>ITOT-SWHSOLBR</v>
          </cell>
          <cell r="B429" t="str">
            <v>VAR_fout</v>
          </cell>
          <cell r="C429" t="str">
            <v>ITOT-SWHASOL</v>
          </cell>
          <cell r="H429">
            <v>8.5476441170395337E-2</v>
          </cell>
          <cell r="I429">
            <v>5.8706440621148936E-2</v>
          </cell>
          <cell r="J429">
            <v>5.301562898562457E-2</v>
          </cell>
        </row>
        <row r="430">
          <cell r="A430" t="str">
            <v>ITOT-SWHSOLBR</v>
          </cell>
          <cell r="B430" t="str">
            <v>VAR_fin</v>
          </cell>
          <cell r="C430" t="str">
            <v>SOL</v>
          </cell>
          <cell r="H430">
            <v>8.5476441170395337E-2</v>
          </cell>
          <cell r="I430">
            <v>5.8706440621148936E-2</v>
          </cell>
          <cell r="J430">
            <v>5.301562898562457E-2</v>
          </cell>
        </row>
        <row r="431">
          <cell r="A431" t="str">
            <v>ITOT-SWHSOLBR</v>
          </cell>
          <cell r="B431" t="str">
            <v>VAR_ncap</v>
          </cell>
          <cell r="C431" t="str">
            <v>-</v>
          </cell>
          <cell r="H431">
            <v>8.5408172927935906E-3</v>
          </cell>
          <cell r="I431">
            <v>3.87758132110241E-3</v>
          </cell>
          <cell r="J431">
            <v>5.9915766824222699E-3</v>
          </cell>
        </row>
        <row r="432">
          <cell r="A432" t="str">
            <v>ITOT-SWHSOLBR</v>
          </cell>
          <cell r="B432" t="str">
            <v>VAR_cap</v>
          </cell>
          <cell r="C432" t="str">
            <v>-</v>
          </cell>
          <cell r="H432">
            <v>1.2418404840223721E-2</v>
          </cell>
          <cell r="I432">
            <v>1.2418398613896001E-2</v>
          </cell>
          <cell r="J432">
            <v>1.24183874716534E-2</v>
          </cell>
        </row>
        <row r="433">
          <cell r="A433" t="str">
            <v>SCOM-SHNGAHP</v>
          </cell>
          <cell r="B433" t="str">
            <v>VAR_fout</v>
          </cell>
          <cell r="C433" t="str">
            <v>SCOM-SHANGAH</v>
          </cell>
          <cell r="H433">
            <v>3.7618617693094452</v>
          </cell>
          <cell r="I433">
            <v>4.7338940709697477</v>
          </cell>
          <cell r="J433">
            <v>4.667937803407141</v>
          </cell>
        </row>
        <row r="434">
          <cell r="A434" t="str">
            <v>SCOM-SHNGAHP</v>
          </cell>
          <cell r="B434" t="str">
            <v>VAR_fout</v>
          </cell>
          <cell r="C434" t="str">
            <v>CO2_S</v>
          </cell>
          <cell r="H434">
            <v>100.11016706868401</v>
          </cell>
          <cell r="I434">
            <v>121.533720843447</v>
          </cell>
          <cell r="J434">
            <v>109.995811996622</v>
          </cell>
        </row>
        <row r="435">
          <cell r="A435" t="str">
            <v>SCOM-SHNGAHP</v>
          </cell>
          <cell r="B435" t="str">
            <v>VAR_fin</v>
          </cell>
          <cell r="C435" t="str">
            <v>SCOMELCHPC</v>
          </cell>
          <cell r="H435">
            <v>3.7618617693094452</v>
          </cell>
          <cell r="I435">
            <v>4.7338940709697477</v>
          </cell>
          <cell r="J435">
            <v>4.667937803407141</v>
          </cell>
        </row>
        <row r="436">
          <cell r="A436" t="str">
            <v>SCOM-SHNGAHP</v>
          </cell>
          <cell r="B436" t="str">
            <v>VAR_fin</v>
          </cell>
          <cell r="C436" t="str">
            <v>SNGA</v>
          </cell>
          <cell r="H436">
            <v>1.7750029622107102</v>
          </cell>
          <cell r="I436">
            <v>2.1548532064441002</v>
          </cell>
          <cell r="J436">
            <v>1.9502803545500411</v>
          </cell>
        </row>
        <row r="437">
          <cell r="A437" t="str">
            <v>SCOM-SHNGAHP</v>
          </cell>
          <cell r="B437" t="str">
            <v>VAR_ncap</v>
          </cell>
          <cell r="C437" t="str">
            <v>-</v>
          </cell>
          <cell r="H437">
            <v>7.1769021232961402E-2</v>
          </cell>
          <cell r="I437">
            <v>0.212028417960476</v>
          </cell>
          <cell r="J437">
            <v>0.17813803775586601</v>
          </cell>
        </row>
        <row r="438">
          <cell r="A438" t="str">
            <v>SCOM-SHNGAHP</v>
          </cell>
          <cell r="B438" t="str">
            <v>VAR_cap</v>
          </cell>
          <cell r="C438" t="str">
            <v>-</v>
          </cell>
          <cell r="H438">
            <v>0.29074661347308234</v>
          </cell>
          <cell r="I438">
            <v>0.36731513902415758</v>
          </cell>
          <cell r="J438">
            <v>0.36237206064926636</v>
          </cell>
        </row>
        <row r="439">
          <cell r="A439" t="str">
            <v>RHNS-SHNGABR</v>
          </cell>
          <cell r="B439" t="str">
            <v>VAR_fout</v>
          </cell>
          <cell r="C439" t="str">
            <v>CO2_R</v>
          </cell>
          <cell r="H439">
            <v>3.65741116020821</v>
          </cell>
          <cell r="I439">
            <v>3.5832987068342099</v>
          </cell>
          <cell r="J439">
            <v>2.1972694355237601</v>
          </cell>
        </row>
        <row r="440">
          <cell r="A440" t="str">
            <v>RHNS-SHNGABR</v>
          </cell>
          <cell r="B440" t="str">
            <v>VAR_fout</v>
          </cell>
          <cell r="C440" t="str">
            <v>RHNS-SHNGA</v>
          </cell>
          <cell r="H440">
            <v>6.2233734097597235E-2</v>
          </cell>
          <cell r="I440">
            <v>6.0972652279184657E-2</v>
          </cell>
          <cell r="J440">
            <v>3.7388271594648616E-2</v>
          </cell>
        </row>
        <row r="441">
          <cell r="A441" t="str">
            <v>RHNS-SHNGABR</v>
          </cell>
          <cell r="B441" t="str">
            <v>VAR_fin</v>
          </cell>
          <cell r="C441" t="str">
            <v>RNGA</v>
          </cell>
          <cell r="H441">
            <v>6.484771560652855E-2</v>
          </cell>
          <cell r="I441">
            <v>6.3533665014791074E-2</v>
          </cell>
          <cell r="J441">
            <v>3.8958677934818456E-2</v>
          </cell>
        </row>
        <row r="442">
          <cell r="A442" t="str">
            <v>RHNS-SHNGABR</v>
          </cell>
          <cell r="B442" t="str">
            <v>VAR_ncap</v>
          </cell>
          <cell r="C442" t="str">
            <v>-</v>
          </cell>
          <cell r="H442">
            <v>7.2059089485004E-4</v>
          </cell>
          <cell r="I442">
            <v>3.7233411785568102E-3</v>
          </cell>
          <cell r="J442">
            <v>2.1593557630763399E-8</v>
          </cell>
        </row>
        <row r="443">
          <cell r="A443" t="str">
            <v>RHNS-SHNGABR</v>
          </cell>
          <cell r="B443" t="str">
            <v>VAR_cap</v>
          </cell>
          <cell r="C443" t="str">
            <v>-</v>
          </cell>
          <cell r="H443">
            <v>4.5449669526714228E-3</v>
          </cell>
          <cell r="I443">
            <v>4.4439433194319745E-3</v>
          </cell>
          <cell r="J443">
            <v>3.006843451420228E-3</v>
          </cell>
        </row>
        <row r="444">
          <cell r="A444" t="str">
            <v>D-RHNM_LTH_CHPNGA</v>
          </cell>
          <cell r="B444" t="str">
            <v>VAR_fout</v>
          </cell>
          <cell r="C444" t="str">
            <v>RHSA_LTH</v>
          </cell>
          <cell r="H444">
            <v>0.1850687160991068</v>
          </cell>
          <cell r="I444">
            <v>7.5417182220396312E-2</v>
          </cell>
        </row>
        <row r="445">
          <cell r="A445" t="str">
            <v>D-RHNM_LTH_CHPNGA</v>
          </cell>
          <cell r="B445" t="str">
            <v>VAR_fout</v>
          </cell>
          <cell r="C445" t="str">
            <v>LTH</v>
          </cell>
          <cell r="H445">
            <v>5.2599914566137472E-5</v>
          </cell>
          <cell r="I445">
            <v>4.5890217404235533E-5</v>
          </cell>
        </row>
        <row r="446">
          <cell r="A446" t="str">
            <v>D-RHNM_LTH_CHPNGA</v>
          </cell>
          <cell r="B446" t="str">
            <v>VAR_fout</v>
          </cell>
          <cell r="C446" t="str">
            <v>RHNM_LTH_CHPNGA_ON</v>
          </cell>
          <cell r="I446">
            <v>1.8844510076093845E-2</v>
          </cell>
          <cell r="J446"/>
        </row>
        <row r="447">
          <cell r="A447" t="str">
            <v>D-RHNM_LTH_CHPNGA</v>
          </cell>
          <cell r="B447" t="str">
            <v>VAR_fin</v>
          </cell>
          <cell r="C447" t="str">
            <v>RHNM_LTH_CHPNGA</v>
          </cell>
          <cell r="H447">
            <v>0.18512131601367288</v>
          </cell>
          <cell r="I447">
            <v>9.4307608324929515E-2</v>
          </cell>
        </row>
        <row r="448">
          <cell r="A448" t="str">
            <v>RHNM-SHELCHP</v>
          </cell>
          <cell r="B448" t="str">
            <v>VAR_fout</v>
          </cell>
          <cell r="C448" t="str">
            <v>RHNM-SHAELCH</v>
          </cell>
          <cell r="H448">
            <v>2.5865032170769511</v>
          </cell>
          <cell r="I448">
            <v>3.0255150962305359</v>
          </cell>
          <cell r="J448">
            <v>3.492659889521585</v>
          </cell>
        </row>
        <row r="449">
          <cell r="A449" t="str">
            <v>RHNM-SHELCHP</v>
          </cell>
          <cell r="B449" t="str">
            <v>VAR_fin</v>
          </cell>
          <cell r="C449" t="str">
            <v>RHNM_ELC</v>
          </cell>
          <cell r="H449">
            <v>0.67525746408563014</v>
          </cell>
          <cell r="I449">
            <v>0.76746979514171909</v>
          </cell>
          <cell r="J449">
            <v>0.84254586732532522</v>
          </cell>
        </row>
        <row r="450">
          <cell r="A450" t="str">
            <v>RHNM-SHELCHP</v>
          </cell>
          <cell r="B450" t="str">
            <v>VAR_fin</v>
          </cell>
          <cell r="C450" t="str">
            <v>RHNMELCHPC</v>
          </cell>
          <cell r="H450">
            <v>2.5865032170769511</v>
          </cell>
          <cell r="I450">
            <v>3.0255150962305359</v>
          </cell>
          <cell r="J450">
            <v>3.492659889521585</v>
          </cell>
        </row>
        <row r="451">
          <cell r="A451" t="str">
            <v>RHNM-SHELCHP</v>
          </cell>
          <cell r="B451" t="str">
            <v>VAR_ncap</v>
          </cell>
          <cell r="C451" t="str">
            <v>-</v>
          </cell>
          <cell r="H451">
            <v>7.7102142262415602E-2</v>
          </cell>
          <cell r="I451">
            <v>0.11017841830316</v>
          </cell>
          <cell r="J451">
            <v>0.158525450032689</v>
          </cell>
        </row>
        <row r="452">
          <cell r="A452" t="str">
            <v>RHNM-SHELCHP</v>
          </cell>
          <cell r="B452" t="str">
            <v>VAR_cap</v>
          </cell>
          <cell r="C452" t="str">
            <v>-</v>
          </cell>
          <cell r="H452">
            <v>0.20076708322901066</v>
          </cell>
          <cell r="I452">
            <v>0.23484097119729891</v>
          </cell>
          <cell r="J452">
            <v>0.27109940613843575</v>
          </cell>
        </row>
        <row r="453">
          <cell r="A453" t="str">
            <v>D-IH2R</v>
          </cell>
          <cell r="B453" t="str">
            <v>VAR_fout</v>
          </cell>
          <cell r="C453" t="str">
            <v>IH2</v>
          </cell>
          <cell r="H453">
            <v>6.8356697534798512</v>
          </cell>
          <cell r="I453">
            <v>7.0940681693939727</v>
          </cell>
          <cell r="J453">
            <v>8.1180568046149038</v>
          </cell>
        </row>
        <row r="454">
          <cell r="A454" t="str">
            <v>D-IH2R</v>
          </cell>
          <cell r="B454" t="str">
            <v>VAR_fin</v>
          </cell>
          <cell r="C454" t="str">
            <v>H2</v>
          </cell>
          <cell r="H454">
            <v>6.8356697534798512</v>
          </cell>
          <cell r="I454">
            <v>7.0940681693939727</v>
          </cell>
          <cell r="J454">
            <v>8.1180568046149038</v>
          </cell>
        </row>
        <row r="455">
          <cell r="A455" t="str">
            <v>D-IH2R</v>
          </cell>
          <cell r="B455" t="str">
            <v>VAR_ncap</v>
          </cell>
          <cell r="C455" t="str">
            <v>-</v>
          </cell>
          <cell r="H455">
            <v>0.24137905149069999</v>
          </cell>
          <cell r="I455">
            <v>0.226211907524036</v>
          </cell>
          <cell r="J455">
            <v>0.20854198858612299</v>
          </cell>
        </row>
        <row r="456">
          <cell r="A456" t="str">
            <v>D-IH2R</v>
          </cell>
          <cell r="B456" t="str">
            <v>VAR_cap</v>
          </cell>
          <cell r="C456" t="str">
            <v>-</v>
          </cell>
          <cell r="H456">
            <v>0.24139790470761699</v>
          </cell>
          <cell r="I456">
            <v>0.26896542935900197</v>
          </cell>
          <cell r="J456">
            <v>0.286024373179672</v>
          </cell>
        </row>
        <row r="457">
          <cell r="A457" t="str">
            <v>RHEM-SHSTG-ELC</v>
          </cell>
          <cell r="B457" t="str">
            <v>VAR_fout</v>
          </cell>
          <cell r="C457" t="str">
            <v>RHEM-SHAELCB</v>
          </cell>
          <cell r="H457">
            <v>4.3083285321515345E-4</v>
          </cell>
          <cell r="I457">
            <v>3.7119265068113414E-4</v>
          </cell>
          <cell r="J457">
            <v>5.4581293185888672E-4</v>
          </cell>
        </row>
        <row r="458">
          <cell r="A458" t="str">
            <v>RHEM-SHSTG-ELC</v>
          </cell>
          <cell r="B458" t="str">
            <v>VAR_fout</v>
          </cell>
          <cell r="C458" t="str">
            <v>AUX_RHEM-SHSTG-ELC_OUT</v>
          </cell>
          <cell r="H458">
            <v>4.3126368606836865E-4</v>
          </cell>
          <cell r="I458">
            <v>3.7156384333181507E-4</v>
          </cell>
          <cell r="J458">
            <v>5.4635874479074583E-4</v>
          </cell>
        </row>
        <row r="459">
          <cell r="A459" t="str">
            <v>RHEM-SHSTG-ELC</v>
          </cell>
          <cell r="B459" t="str">
            <v>VAR_fin</v>
          </cell>
          <cell r="C459" t="str">
            <v>RHEM-SHAELCB</v>
          </cell>
          <cell r="H459">
            <v>4.3082206596758369E-4</v>
          </cell>
          <cell r="I459">
            <v>3.7120872221208906E-4</v>
          </cell>
          <cell r="J459">
            <v>5.4582008196816319E-4</v>
          </cell>
        </row>
        <row r="460">
          <cell r="A460" t="str">
            <v>RHEM-SHSTG-ELC</v>
          </cell>
          <cell r="B460" t="str">
            <v>VAR_ncap</v>
          </cell>
          <cell r="C460" t="str">
            <v>-</v>
          </cell>
          <cell r="H460">
            <v>6.4238422189144998E-6</v>
          </cell>
          <cell r="I460">
            <v>5.4846845085949498E-5</v>
          </cell>
          <cell r="J460">
            <v>4.76884285564187E-5</v>
          </cell>
        </row>
        <row r="461">
          <cell r="A461" t="str">
            <v>RHEM-SHSTG-ELC</v>
          </cell>
          <cell r="B461" t="str">
            <v>VAR_cap</v>
          </cell>
          <cell r="C461" t="str">
            <v>-</v>
          </cell>
          <cell r="H461">
            <v>8.9766718696000086E-5</v>
          </cell>
          <cell r="I461">
            <v>6.0429779139024403E-5</v>
          </cell>
          <cell r="J461">
            <v>8.6989309894032165E-5</v>
          </cell>
        </row>
        <row r="462">
          <cell r="A462" t="str">
            <v>RHNM-SHLTHCHPWOD</v>
          </cell>
          <cell r="B462" t="str">
            <v>VAR_ncap</v>
          </cell>
          <cell r="C462" t="str">
            <v>-</v>
          </cell>
          <cell r="H462">
            <v>2.2131963496901E-4</v>
          </cell>
          <cell r="I462">
            <v>3.3024088473479099E-3</v>
          </cell>
          <cell r="J462">
            <v>1.96114731797927E-3</v>
          </cell>
        </row>
        <row r="463">
          <cell r="A463" t="str">
            <v>RHNM-SHLTHCHPWOD</v>
          </cell>
          <cell r="B463" t="str">
            <v>VAR_cap</v>
          </cell>
          <cell r="C463" t="str">
            <v>-</v>
          </cell>
          <cell r="H463">
            <v>2.4527341209476284E-4</v>
          </cell>
          <cell r="I463">
            <v>3.4580547779573638E-3</v>
          </cell>
          <cell r="J463">
            <v>3.3377000742529804E-3</v>
          </cell>
        </row>
        <row r="464">
          <cell r="A464" t="str">
            <v>ITOT-SWHDEM</v>
          </cell>
          <cell r="B464" t="str">
            <v>VAR_fout</v>
          </cell>
          <cell r="C464" t="str">
            <v>ITOT-SWHD</v>
          </cell>
          <cell r="H464">
            <v>77.728985966968807</v>
          </cell>
          <cell r="I464">
            <v>78.265762988385006</v>
          </cell>
          <cell r="J464">
            <v>79.005902030228967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ITOT-SWHNGAH</v>
          </cell>
          <cell r="H465">
            <v>5.6848485793099346E-4</v>
          </cell>
          <cell r="I465">
            <v>1.5624265175903613E-4</v>
          </cell>
          <cell r="J465">
            <v>3.2287129681964381E-4</v>
          </cell>
        </row>
        <row r="466">
          <cell r="A466" t="str">
            <v>ITOT-SWHDEM</v>
          </cell>
          <cell r="B466" t="str">
            <v>VAR_fin</v>
          </cell>
          <cell r="C466" t="str">
            <v>ITOT-SWH</v>
          </cell>
          <cell r="H466">
            <v>53.084160886677246</v>
          </cell>
          <cell r="I466">
            <v>50.49110006401294</v>
          </cell>
          <cell r="J466">
            <v>48.912542388215435</v>
          </cell>
        </row>
        <row r="467">
          <cell r="A467" t="str">
            <v>ITOT-SWHDEM</v>
          </cell>
          <cell r="B467" t="str">
            <v>VAR_fin</v>
          </cell>
          <cell r="C467" t="str">
            <v>ITOT-SWHELCH</v>
          </cell>
          <cell r="H467">
            <v>6.6408936893006709</v>
          </cell>
          <cell r="I467">
            <v>6.641247062502373</v>
          </cell>
          <cell r="J467">
            <v>8.808287349485008</v>
          </cell>
        </row>
        <row r="468">
          <cell r="A468" t="str">
            <v>ITOT-SWHDEM</v>
          </cell>
          <cell r="B468" t="str">
            <v>VAR_fin</v>
          </cell>
          <cell r="C468" t="str">
            <v>ITOT-SWHC</v>
          </cell>
          <cell r="H468">
            <v>7.3413235580099556</v>
          </cell>
          <cell r="I468">
            <v>10.535763741081428</v>
          </cell>
          <cell r="J468">
            <v>10.606552419952511</v>
          </cell>
        </row>
        <row r="469">
          <cell r="A469" t="str">
            <v>ITOT-SWHDEM</v>
          </cell>
          <cell r="B469" t="str">
            <v>VAR_fin</v>
          </cell>
          <cell r="C469" t="str">
            <v>ITOT-SWHELC</v>
          </cell>
          <cell r="H469">
            <v>10.576571233993128</v>
          </cell>
          <cell r="I469">
            <v>10.538805777514094</v>
          </cell>
          <cell r="J469">
            <v>10.625189812989385</v>
          </cell>
        </row>
        <row r="470">
          <cell r="A470" t="str">
            <v>ITOT-SWHDEM</v>
          </cell>
          <cell r="B470" t="str">
            <v>VAR_fin</v>
          </cell>
          <cell r="C470" t="str">
            <v>ITOT-SWHSOL</v>
          </cell>
          <cell r="H470">
            <v>8.547110227533615E-2</v>
          </cell>
          <cell r="I470">
            <v>5.8693936755706583E-2</v>
          </cell>
          <cell r="J470">
            <v>5.3010502482760985E-2</v>
          </cell>
        </row>
        <row r="471">
          <cell r="A471" t="str">
            <v>D-RHNS_NKEV_GAS_ELC_CHP</v>
          </cell>
          <cell r="B471" t="str">
            <v>VAR_fout</v>
          </cell>
          <cell r="C471" t="str">
            <v>RHNS_ELC</v>
          </cell>
          <cell r="H471">
            <v>1.9649823557648816E-3</v>
          </cell>
          <cell r="I471">
            <v>1.0184043672056135E-3</v>
          </cell>
        </row>
        <row r="472">
          <cell r="A472" t="str">
            <v>D-RHNS_NKEV_GAS_ELC_CHP</v>
          </cell>
          <cell r="B472" t="str">
            <v>VAR_fout</v>
          </cell>
          <cell r="C472" t="str">
            <v>ELC5</v>
          </cell>
          <cell r="H472">
            <v>1.4186888538838676E-4</v>
          </cell>
          <cell r="I472">
            <v>7.3441676535435289E-5</v>
          </cell>
        </row>
        <row r="473">
          <cell r="A473" t="str">
            <v>D-RHNS_NKEV_GAS_ELC_CHP</v>
          </cell>
          <cell r="B473" t="str">
            <v>VAR_fin</v>
          </cell>
          <cell r="C473" t="str">
            <v>RHNS_NKEV_GAS_ELC_CHP</v>
          </cell>
          <cell r="H473">
            <v>2.1066868445765124E-3</v>
          </cell>
          <cell r="I473">
            <v>1.0923145707231413E-3</v>
          </cell>
        </row>
        <row r="474">
          <cell r="A474" t="str">
            <v>RHNM-SHSTG-NGAHP</v>
          </cell>
          <cell r="B474" t="str">
            <v>VAR_fout</v>
          </cell>
          <cell r="C474" t="str">
            <v>RHNM-SHANGAH</v>
          </cell>
          <cell r="H474">
            <v>6.1326615254096904E-2</v>
          </cell>
          <cell r="I474">
            <v>9.2114460670938758E-2</v>
          </cell>
          <cell r="J474">
            <v>0.11808733292029847</v>
          </cell>
        </row>
        <row r="475">
          <cell r="A475" t="str">
            <v>RHNM-SHSTG-NGAHP</v>
          </cell>
          <cell r="B475" t="str">
            <v>VAR_fout</v>
          </cell>
          <cell r="C475" t="str">
            <v>AUX_RHNM-SHSTG-NGAHP_OUT</v>
          </cell>
          <cell r="H475">
            <v>6.1387941869350968E-2</v>
          </cell>
          <cell r="I475">
            <v>9.2206575131609736E-2</v>
          </cell>
          <cell r="J475">
            <v>0.1182054202532187</v>
          </cell>
        </row>
        <row r="476">
          <cell r="A476" t="str">
            <v>RHNM-SHSTG-NGAHP</v>
          </cell>
          <cell r="B476" t="str">
            <v>VAR_fin</v>
          </cell>
          <cell r="C476" t="str">
            <v>RHNM-SHANGAH</v>
          </cell>
          <cell r="H476">
            <v>6.1327151219098236E-2</v>
          </cell>
          <cell r="I476">
            <v>9.2114733455167352E-2</v>
          </cell>
          <cell r="J476">
            <v>0.11808760334763475</v>
          </cell>
        </row>
        <row r="477">
          <cell r="A477" t="str">
            <v>RHNM-SHSTG-NGAHP</v>
          </cell>
          <cell r="B477" t="str">
            <v>VAR_ncap</v>
          </cell>
          <cell r="C477" t="str">
            <v>-</v>
          </cell>
          <cell r="H477">
            <v>8.8187556007432895E-3</v>
          </cell>
          <cell r="I477">
            <v>1.00430102118722E-2</v>
          </cell>
          <cell r="J477">
            <v>1.4201121022250201E-2</v>
          </cell>
        </row>
        <row r="478">
          <cell r="A478" t="str">
            <v>RHNM-SHSTG-NGAHP</v>
          </cell>
          <cell r="B478" t="str">
            <v>VAR_cap</v>
          </cell>
          <cell r="C478" t="str">
            <v>-</v>
          </cell>
          <cell r="H478">
            <v>1.9618334962795966E-2</v>
          </cell>
          <cell r="I478">
            <v>2.3755856855113434E-2</v>
          </cell>
          <cell r="J478">
            <v>2.5213844128555041E-2</v>
          </cell>
        </row>
        <row r="479">
          <cell r="A479" t="str">
            <v>D-IBIO</v>
          </cell>
          <cell r="B479" t="str">
            <v>VAR_fout</v>
          </cell>
          <cell r="C479" t="str">
            <v>IBIO</v>
          </cell>
          <cell r="H479">
            <v>9.264026300046396</v>
          </cell>
          <cell r="I479">
            <v>10.679653305050559</v>
          </cell>
          <cell r="J479">
            <v>11.094281267048547</v>
          </cell>
        </row>
        <row r="480">
          <cell r="A480" t="str">
            <v>D-IBIO</v>
          </cell>
          <cell r="B480" t="str">
            <v>VAR_fin</v>
          </cell>
          <cell r="C480" t="str">
            <v>BIO</v>
          </cell>
          <cell r="H480">
            <v>9.264026300046396</v>
          </cell>
          <cell r="I480">
            <v>10.679653305050559</v>
          </cell>
          <cell r="J480">
            <v>11.094281267048547</v>
          </cell>
        </row>
        <row r="481">
          <cell r="A481" t="str">
            <v>D-RHES_KEV_WOD_ELC_CHP</v>
          </cell>
          <cell r="B481" t="str">
            <v>VAR_fout</v>
          </cell>
          <cell r="C481" t="str">
            <v>RHES_ELC</v>
          </cell>
          <cell r="H481">
            <v>6.2955112676188918E-5</v>
          </cell>
          <cell r="I481">
            <v>6.9357004085471294E-5</v>
          </cell>
          <cell r="J481">
            <v>3.0490209539154824E-5</v>
          </cell>
        </row>
        <row r="482">
          <cell r="A482" t="str">
            <v>D-RHES_KEV_WOD_ELC_CHP</v>
          </cell>
          <cell r="B482" t="str">
            <v>VAR_fout</v>
          </cell>
          <cell r="C482" t="str">
            <v>ELC5</v>
          </cell>
          <cell r="H482">
            <v>4.5548968043478587E-5</v>
          </cell>
          <cell r="I482">
            <v>4.3775592952587238E-5</v>
          </cell>
          <cell r="J482">
            <v>1.9501049726414164E-5</v>
          </cell>
        </row>
        <row r="483">
          <cell r="A483" t="str">
            <v>D-RHES_KEV_WOD_ELC_CHP</v>
          </cell>
          <cell r="B483" t="str">
            <v>VAR_fin</v>
          </cell>
          <cell r="C483" t="str">
            <v>RHES_KEV_WOD_ELC_CHP</v>
          </cell>
          <cell r="H483">
            <v>1.0835241656677796E-4</v>
          </cell>
          <cell r="I483">
            <v>1.1302224670747215E-4</v>
          </cell>
          <cell r="J483">
            <v>4.9887908711812962E-5</v>
          </cell>
        </row>
        <row r="484">
          <cell r="A484" t="str">
            <v>RHNS-SHLFOBR</v>
          </cell>
          <cell r="B484" t="str">
            <v>VAR_fout</v>
          </cell>
          <cell r="C484" t="str">
            <v>CO2_R</v>
          </cell>
          <cell r="H484">
            <v>2.0204428494329298</v>
          </cell>
          <cell r="I484">
            <v>1.71972379272466</v>
          </cell>
        </row>
        <row r="485">
          <cell r="A485" t="str">
            <v>RHNS-SHLFOBR</v>
          </cell>
          <cell r="B485" t="str">
            <v>VAR_fout</v>
          </cell>
          <cell r="C485" t="str">
            <v>RHNS-SHLFO</v>
          </cell>
          <cell r="H485">
            <v>2.6028896180374288E-2</v>
          </cell>
          <cell r="I485">
            <v>2.215480238518646E-2</v>
          </cell>
        </row>
        <row r="486">
          <cell r="A486" t="str">
            <v>RHNS-SHLFOBR</v>
          </cell>
          <cell r="B486" t="str">
            <v>VAR_fin</v>
          </cell>
          <cell r="C486" t="str">
            <v>RLFO</v>
          </cell>
          <cell r="H486">
            <v>2.7414421294883754E-2</v>
          </cell>
          <cell r="I486">
            <v>2.3334108449452617E-2</v>
          </cell>
        </row>
        <row r="487">
          <cell r="A487" t="str">
            <v>RHNS-SHLFOBR</v>
          </cell>
          <cell r="B487" t="str">
            <v>VAR_ncap</v>
          </cell>
          <cell r="C487" t="str">
            <v>-</v>
          </cell>
        </row>
        <row r="488">
          <cell r="A488" t="str">
            <v>RHNS-SHLFOBR</v>
          </cell>
          <cell r="B488" t="str">
            <v>VAR_cap</v>
          </cell>
          <cell r="C488" t="str">
            <v>-</v>
          </cell>
          <cell r="H488">
            <v>9.1129189255143156E-3</v>
          </cell>
          <cell r="I488">
            <v>1.6140758017208E-3</v>
          </cell>
        </row>
        <row r="489">
          <cell r="A489" t="str">
            <v>D-SNGA</v>
          </cell>
          <cell r="B489" t="str">
            <v>VAR_fout</v>
          </cell>
          <cell r="C489" t="str">
            <v>CO2</v>
          </cell>
          <cell r="H489">
            <v>781.00899216209905</v>
          </cell>
          <cell r="I489">
            <v>656.210957732618</v>
          </cell>
          <cell r="J489">
            <v>607.69145886259003</v>
          </cell>
        </row>
        <row r="490">
          <cell r="A490" t="str">
            <v>D-SNGA</v>
          </cell>
          <cell r="B490" t="str">
            <v>VAR_fout</v>
          </cell>
          <cell r="C490" t="str">
            <v>SNGA</v>
          </cell>
          <cell r="H490">
            <v>13.803620067683539</v>
          </cell>
          <cell r="I490">
            <v>11.749595896130208</v>
          </cell>
          <cell r="J490">
            <v>10.740298171677384</v>
          </cell>
        </row>
        <row r="491">
          <cell r="A491" t="str">
            <v>D-SNGA</v>
          </cell>
          <cell r="B491" t="str">
            <v>VAR_fout</v>
          </cell>
          <cell r="C491" t="str">
            <v>RSH2</v>
          </cell>
          <cell r="H491">
            <v>3.6479407490126834E-4</v>
          </cell>
          <cell r="I491">
            <v>1.2361710782189976E-2</v>
          </cell>
          <cell r="J491">
            <v>2.6589072566006913E-2</v>
          </cell>
        </row>
        <row r="492">
          <cell r="A492" t="str">
            <v>D-SNGA</v>
          </cell>
          <cell r="B492" t="str">
            <v>VAR_fin</v>
          </cell>
          <cell r="C492" t="str">
            <v>NGA</v>
          </cell>
          <cell r="H492">
            <v>13.847677165994652</v>
          </cell>
          <cell r="I492">
            <v>11.634946059088973</v>
          </cell>
          <cell r="J492">
            <v>10.774671256428896</v>
          </cell>
        </row>
        <row r="493">
          <cell r="A493" t="str">
            <v>D-SNGA</v>
          </cell>
          <cell r="B493" t="str">
            <v>VAR_fin</v>
          </cell>
          <cell r="C493" t="str">
            <v>BNGA</v>
          </cell>
          <cell r="H493">
            <v>4.1677916405312387E-5</v>
          </cell>
          <cell r="I493">
            <v>0.15222724415102939</v>
          </cell>
          <cell r="J493">
            <v>2.6006700234136332E-5</v>
          </cell>
        </row>
        <row r="494">
          <cell r="A494" t="str">
            <v>D-SNGA</v>
          </cell>
          <cell r="B494" t="str">
            <v>VAR_fin</v>
          </cell>
          <cell r="C494" t="str">
            <v>H2</v>
          </cell>
          <cell r="H494">
            <v>3.6478633409505281E-4</v>
          </cell>
          <cell r="I494">
            <v>1.2361696615804246E-2</v>
          </cell>
          <cell r="J494">
            <v>2.6589014881727987E-2</v>
          </cell>
        </row>
        <row r="495">
          <cell r="A495" t="str">
            <v>D-SNGA</v>
          </cell>
          <cell r="B495" t="str">
            <v>VAR_ncap</v>
          </cell>
          <cell r="C495" t="str">
            <v>-</v>
          </cell>
          <cell r="H495">
            <v>1.95764288232096E-8</v>
          </cell>
          <cell r="I495">
            <v>2.5630125336201801E-8</v>
          </cell>
          <cell r="J495">
            <v>4.3417705729407997E-8</v>
          </cell>
        </row>
        <row r="496">
          <cell r="A496" t="str">
            <v>D-SNGA</v>
          </cell>
          <cell r="B496" t="str">
            <v>VAR_cap</v>
          </cell>
          <cell r="C496" t="str">
            <v>-</v>
          </cell>
          <cell r="H496">
            <v>2.235052268404337</v>
          </cell>
          <cell r="I496">
            <v>2.2350522940344622</v>
          </cell>
          <cell r="J496">
            <v>1.1208906383158879</v>
          </cell>
        </row>
        <row r="497">
          <cell r="A497" t="str">
            <v>D-IPLT</v>
          </cell>
          <cell r="B497" t="str">
            <v>VAR_fout</v>
          </cell>
          <cell r="C497" t="str">
            <v>IPLT</v>
          </cell>
          <cell r="H497">
            <v>4.1712318979614746</v>
          </cell>
          <cell r="I497">
            <v>4.1595806415955767</v>
          </cell>
          <cell r="J497">
            <v>4.1364722827794695</v>
          </cell>
        </row>
        <row r="498">
          <cell r="A498" t="str">
            <v>D-IPLT</v>
          </cell>
          <cell r="B498" t="str">
            <v>VAR_fin</v>
          </cell>
          <cell r="C498" t="str">
            <v>PLT</v>
          </cell>
          <cell r="H498">
            <v>4.1712318979614746</v>
          </cell>
          <cell r="I498">
            <v>4.1595806415955767</v>
          </cell>
          <cell r="J498">
            <v>4.1364722827794695</v>
          </cell>
        </row>
        <row r="499">
          <cell r="A499" t="str">
            <v>ITOT-SWHWODBR</v>
          </cell>
          <cell r="B499" t="str">
            <v>VAR_fout</v>
          </cell>
          <cell r="C499" t="str">
            <v>ITOT-SWH</v>
          </cell>
          <cell r="H499">
            <v>3.7222891220084411</v>
          </cell>
          <cell r="I499">
            <v>3.3562246410906527</v>
          </cell>
          <cell r="J499">
            <v>6.0274847318090821</v>
          </cell>
        </row>
        <row r="500">
          <cell r="A500" t="str">
            <v>ITOT-SWHWODBR</v>
          </cell>
          <cell r="B500" t="str">
            <v>VAR_fin</v>
          </cell>
          <cell r="C500" t="str">
            <v>IWOD</v>
          </cell>
          <cell r="H500">
            <v>6.2559481042158644</v>
          </cell>
          <cell r="I500">
            <v>5.6249574990346112</v>
          </cell>
          <cell r="J500">
            <v>10.045807886348472</v>
          </cell>
        </row>
        <row r="501">
          <cell r="A501" t="str">
            <v>ITOT-SWHWODBR</v>
          </cell>
          <cell r="B501" t="str">
            <v>VAR_fin</v>
          </cell>
          <cell r="C501" t="str">
            <v>ITOTWODBRC</v>
          </cell>
          <cell r="H501">
            <v>3.7222891220084411</v>
          </cell>
          <cell r="I501">
            <v>3.3562246410906527</v>
          </cell>
          <cell r="J501">
            <v>6.0274847318090821</v>
          </cell>
        </row>
        <row r="502">
          <cell r="A502" t="str">
            <v>ITOT-SWHWODBR</v>
          </cell>
          <cell r="B502" t="str">
            <v>VAR_ncap</v>
          </cell>
          <cell r="C502" t="str">
            <v>-</v>
          </cell>
          <cell r="H502">
            <v>0.11262491458025201</v>
          </cell>
          <cell r="I502">
            <v>8.0454865377256393E-2</v>
          </cell>
          <cell r="J502">
            <v>0.257955476152882</v>
          </cell>
        </row>
        <row r="503">
          <cell r="A503" t="str">
            <v>ITOT-SWHWODBR</v>
          </cell>
          <cell r="B503" t="str">
            <v>VAR_cap</v>
          </cell>
          <cell r="C503" t="str">
            <v>-</v>
          </cell>
          <cell r="H503">
            <v>0.21416574965384635</v>
          </cell>
          <cell r="I503">
            <v>0.19307969252774279</v>
          </cell>
          <cell r="J503">
            <v>0.36398334804057542</v>
          </cell>
        </row>
        <row r="504">
          <cell r="A504" t="str">
            <v>D-ITOT_KEV_WOD_ELC_CHP</v>
          </cell>
          <cell r="B504" t="str">
            <v>VAR_fout</v>
          </cell>
          <cell r="C504" t="str">
            <v>ITOT_ELC</v>
          </cell>
          <cell r="H504">
            <v>2.5296246721065163</v>
          </cell>
          <cell r="I504">
            <v>3.1394315929714911</v>
          </cell>
          <cell r="J504">
            <v>4.176112750861364</v>
          </cell>
        </row>
        <row r="505">
          <cell r="A505" t="str">
            <v>D-ITOT_KEV_WOD_ELC_CHP</v>
          </cell>
          <cell r="B505" t="str">
            <v>VAR_fout</v>
          </cell>
          <cell r="C505" t="str">
            <v>ELC5</v>
          </cell>
          <cell r="H505">
            <v>9.3565842075732321E-4</v>
          </cell>
          <cell r="I505">
            <v>0.10724631069227342</v>
          </cell>
          <cell r="J505">
            <v>0.10125834514017207</v>
          </cell>
        </row>
        <row r="506">
          <cell r="A506" t="str">
            <v>D-ITOT_KEV_WOD_ELC_CHP</v>
          </cell>
          <cell r="B506" t="str">
            <v>VAR_fin</v>
          </cell>
          <cell r="C506" t="str">
            <v>ITOT_KEV_WOD_ELC_CHP</v>
          </cell>
          <cell r="H506">
            <v>2.5305601170220724</v>
          </cell>
          <cell r="I506">
            <v>3.2466779036637665</v>
          </cell>
          <cell r="J506">
            <v>4.2773710960015343</v>
          </cell>
        </row>
        <row r="507">
          <cell r="A507" t="str">
            <v>RHEM-SHSTG-SOL</v>
          </cell>
          <cell r="B507" t="str">
            <v>VAR_fout</v>
          </cell>
          <cell r="C507" t="str">
            <v>RHEM-SHASOL</v>
          </cell>
          <cell r="H507">
            <v>8.5970638766841335E-3</v>
          </cell>
          <cell r="I507">
            <v>3.4801210329043191E-3</v>
          </cell>
          <cell r="J507">
            <v>4.0096198255708216E-3</v>
          </cell>
        </row>
        <row r="508">
          <cell r="A508" t="str">
            <v>RHEM-SHSTG-SOL</v>
          </cell>
          <cell r="B508" t="str">
            <v>VAR_fout</v>
          </cell>
          <cell r="C508" t="str">
            <v>AUX_RHEM-SHSTG-SOL_OUT</v>
          </cell>
          <cell r="H508">
            <v>8.6056609405608161E-3</v>
          </cell>
          <cell r="I508">
            <v>3.4836011539372239E-3</v>
          </cell>
          <cell r="J508">
            <v>4.0136294453963902E-3</v>
          </cell>
        </row>
        <row r="509">
          <cell r="A509" t="str">
            <v>RHEM-SHSTG-SOL</v>
          </cell>
          <cell r="B509" t="str">
            <v>VAR_fin</v>
          </cell>
          <cell r="C509" t="str">
            <v>RHEM-SHASOL</v>
          </cell>
          <cell r="H509">
            <v>8.5971286263175403E-3</v>
          </cell>
          <cell r="I509">
            <v>3.4802158533478139E-3</v>
          </cell>
          <cell r="J509">
            <v>4.0097413189201583E-3</v>
          </cell>
        </row>
        <row r="510">
          <cell r="A510" t="str">
            <v>RHEM-SHSTG-SOL</v>
          </cell>
          <cell r="B510" t="str">
            <v>VAR_ncap</v>
          </cell>
          <cell r="C510" t="str">
            <v>-</v>
          </cell>
          <cell r="H510">
            <v>3.7919715620915998E-4</v>
          </cell>
          <cell r="I510">
            <v>1.40144866355016E-4</v>
          </cell>
          <cell r="J510">
            <v>3.4790560109383798E-4</v>
          </cell>
        </row>
        <row r="511">
          <cell r="A511" t="str">
            <v>RHEM-SHSTG-SOL</v>
          </cell>
          <cell r="B511" t="str">
            <v>VAR_cap</v>
          </cell>
          <cell r="C511" t="str">
            <v>-</v>
          </cell>
          <cell r="H511">
            <v>4.70755478928939E-3</v>
          </cell>
          <cell r="I511">
            <v>5.1935596425971796E-4</v>
          </cell>
          <cell r="J511">
            <v>6.1001179768785504E-4</v>
          </cell>
        </row>
        <row r="512">
          <cell r="A512" t="str">
            <v>ITOT-SWHCONBR10</v>
          </cell>
          <cell r="B512" t="str">
            <v>VAR_fout</v>
          </cell>
          <cell r="C512" t="str">
            <v>ITOT-ELS</v>
          </cell>
          <cell r="J512">
            <v>3.0317707500753532E-6</v>
          </cell>
        </row>
        <row r="513">
          <cell r="A513" t="str">
            <v>ITOT-SWHCONBR10</v>
          </cell>
          <cell r="B513" t="str">
            <v>VAR_fout</v>
          </cell>
          <cell r="C513" t="str">
            <v>ITOT-SWHC</v>
          </cell>
          <cell r="J513">
            <v>2.5066271519473257E-5</v>
          </cell>
        </row>
        <row r="514">
          <cell r="A514" t="str">
            <v>ITOT-SWHCONBR10</v>
          </cell>
          <cell r="B514" t="str">
            <v>VAR_fin</v>
          </cell>
          <cell r="C514" t="str">
            <v>CON</v>
          </cell>
          <cell r="J514">
            <v>2.9136724170020035E-5</v>
          </cell>
        </row>
        <row r="515">
          <cell r="A515" t="str">
            <v>ITOT-SWHCONBR10</v>
          </cell>
          <cell r="B515" t="str">
            <v>VAR_ncap</v>
          </cell>
          <cell r="C515" t="str">
            <v>-</v>
          </cell>
          <cell r="J515">
            <v>1.5645547890812999E-6</v>
          </cell>
        </row>
        <row r="516">
          <cell r="A516" t="str">
            <v>ITOT-SWHCONBR10</v>
          </cell>
          <cell r="B516" t="str">
            <v>VAR_cap</v>
          </cell>
          <cell r="C516" t="str">
            <v>-</v>
          </cell>
          <cell r="J516">
            <v>1.5645547890812999E-6</v>
          </cell>
        </row>
        <row r="517">
          <cell r="A517" t="str">
            <v>SCOM-SHSTG</v>
          </cell>
          <cell r="B517" t="str">
            <v>VAR_fout</v>
          </cell>
          <cell r="C517" t="str">
            <v>AUX_SCOM-SHSTG_OUT</v>
          </cell>
          <cell r="H517">
            <v>0.91480669232466905</v>
          </cell>
          <cell r="I517">
            <v>1.1678131982442914</v>
          </cell>
          <cell r="J517">
            <v>1.3108173025160887</v>
          </cell>
        </row>
        <row r="518">
          <cell r="A518" t="str">
            <v>SCOM-SHSTG</v>
          </cell>
          <cell r="B518" t="str">
            <v>VAR_fout</v>
          </cell>
          <cell r="C518" t="str">
            <v>SCOM-SHD</v>
          </cell>
          <cell r="H518">
            <v>0.91582427485228257</v>
          </cell>
          <cell r="I518">
            <v>1.167813198244291</v>
          </cell>
          <cell r="J518">
            <v>1.3108173025160887</v>
          </cell>
        </row>
        <row r="519">
          <cell r="A519" t="str">
            <v>SCOM-SHSTG</v>
          </cell>
          <cell r="B519" t="str">
            <v>VAR_fin</v>
          </cell>
          <cell r="C519" t="str">
            <v>AUX_SCOM-SHSTG_IN</v>
          </cell>
          <cell r="H519">
            <v>1.0178555006879968</v>
          </cell>
          <cell r="I519">
            <v>1.256030116932652</v>
          </cell>
          <cell r="J519">
            <v>1.3243374383959619</v>
          </cell>
        </row>
        <row r="520">
          <cell r="A520" t="str">
            <v>SCOM-SHSTG</v>
          </cell>
          <cell r="B520" t="str">
            <v>VAR_fin</v>
          </cell>
          <cell r="C520" t="str">
            <v>SCOM-SHD</v>
          </cell>
          <cell r="H520">
            <v>1.0178555006879968</v>
          </cell>
          <cell r="I520">
            <v>1.256030116932652</v>
          </cell>
          <cell r="J520">
            <v>1.3243374383959619</v>
          </cell>
        </row>
        <row r="521">
          <cell r="A521" t="str">
            <v>SCOM-SHSTG</v>
          </cell>
          <cell r="B521" t="str">
            <v>VAR_ncap</v>
          </cell>
          <cell r="C521" t="str">
            <v>-</v>
          </cell>
          <cell r="H521">
            <v>0.28211532956012703</v>
          </cell>
          <cell r="I521">
            <v>1.22954379954023E-2</v>
          </cell>
          <cell r="J521">
            <v>3.4895831133022297E-2</v>
          </cell>
        </row>
        <row r="522">
          <cell r="A522" t="str">
            <v>SCOM-SHSTG</v>
          </cell>
          <cell r="B522" t="str">
            <v>VAR_cap</v>
          </cell>
          <cell r="C522" t="str">
            <v>-</v>
          </cell>
          <cell r="H522">
            <v>0.28218980962397755</v>
          </cell>
          <cell r="I522">
            <v>0.29443679599791106</v>
          </cell>
          <cell r="J522">
            <v>0.27199741783214976</v>
          </cell>
        </row>
        <row r="523">
          <cell r="A523" t="str">
            <v>D-ITOT_KEV_HFC_ELC_CHP</v>
          </cell>
          <cell r="B523" t="str">
            <v>VAR_fout</v>
          </cell>
          <cell r="C523" t="str">
            <v>ITOT_ELC</v>
          </cell>
          <cell r="H523">
            <v>1.929867415785134E-3</v>
          </cell>
          <cell r="I523">
            <v>5.9516968228875856E-3</v>
          </cell>
          <cell r="J523">
            <v>2.1603943827773722</v>
          </cell>
        </row>
        <row r="524">
          <cell r="A524" t="str">
            <v>D-ITOT_KEV_HFC_ELC_CHP</v>
          </cell>
          <cell r="B524" t="str">
            <v>VAR_fout</v>
          </cell>
          <cell r="C524" t="str">
            <v>ELC5</v>
          </cell>
          <cell r="H524">
            <v>2.6503802670042555E-4</v>
          </cell>
          <cell r="I524">
            <v>1.458987256498545E-3</v>
          </cell>
          <cell r="J524">
            <v>0.12114213181376536</v>
          </cell>
        </row>
        <row r="525">
          <cell r="A525" t="str">
            <v>D-ITOT_KEV_HFC_ELC_CHP</v>
          </cell>
          <cell r="B525" t="str">
            <v>VAR_fin</v>
          </cell>
          <cell r="C525" t="str">
            <v>ITOT_KEV_HFC_ELC_CHP</v>
          </cell>
          <cell r="H525">
            <v>2.1946919372248714E-3</v>
          </cell>
          <cell r="I525">
            <v>7.4105426878997181E-3</v>
          </cell>
          <cell r="J525">
            <v>2.2815363863823208</v>
          </cell>
        </row>
        <row r="526">
          <cell r="A526" t="str">
            <v>D-RNGA</v>
          </cell>
          <cell r="B526" t="str">
            <v>VAR_fout</v>
          </cell>
          <cell r="C526" t="str">
            <v>CO2</v>
          </cell>
          <cell r="H526">
            <v>1373.00770566914</v>
          </cell>
          <cell r="I526">
            <v>782.86829294067695</v>
          </cell>
          <cell r="J526">
            <v>446.38523454659298</v>
          </cell>
        </row>
        <row r="527">
          <cell r="A527" t="str">
            <v>D-RNGA</v>
          </cell>
          <cell r="B527" t="str">
            <v>VAR_fout</v>
          </cell>
          <cell r="C527" t="str">
            <v>RNGA</v>
          </cell>
          <cell r="H527">
            <v>24.266625195287261</v>
          </cell>
          <cell r="I527">
            <v>14.036449213564168</v>
          </cell>
          <cell r="J527">
            <v>7.8893790813804809</v>
          </cell>
        </row>
        <row r="528">
          <cell r="A528" t="str">
            <v>D-RNGA</v>
          </cell>
          <cell r="B528" t="str">
            <v>VAR_fout</v>
          </cell>
          <cell r="C528" t="str">
            <v>RSH2</v>
          </cell>
          <cell r="H528">
            <v>5.3466619942710812E-4</v>
          </cell>
          <cell r="I528">
            <v>2.3534281848682444E-2</v>
          </cell>
          <cell r="J528">
            <v>2.3040152184327672E-2</v>
          </cell>
        </row>
        <row r="529">
          <cell r="A529" t="str">
            <v>D-RNGA</v>
          </cell>
          <cell r="B529" t="str">
            <v>VAR_fin</v>
          </cell>
          <cell r="C529" t="str">
            <v>NGA</v>
          </cell>
          <cell r="H529">
            <v>24.344108256545102</v>
          </cell>
          <cell r="I529">
            <v>13.880643491855979</v>
          </cell>
          <cell r="J529">
            <v>7.9146318182020057</v>
          </cell>
        </row>
        <row r="530">
          <cell r="A530" t="str">
            <v>D-RNGA</v>
          </cell>
          <cell r="B530" t="str">
            <v>VAR_fin</v>
          </cell>
          <cell r="C530" t="str">
            <v>BNGA</v>
          </cell>
          <cell r="H530">
            <v>4.1719154362820538E-5</v>
          </cell>
          <cell r="I530">
            <v>0.20072447879434241</v>
          </cell>
          <cell r="J530">
            <v>2.5969082512953455E-5</v>
          </cell>
        </row>
        <row r="531">
          <cell r="A531" t="str">
            <v>D-RNGA</v>
          </cell>
          <cell r="B531" t="str">
            <v>VAR_fin</v>
          </cell>
          <cell r="C531" t="str">
            <v>H2</v>
          </cell>
          <cell r="H531">
            <v>5.3465833077511913E-4</v>
          </cell>
          <cell r="I531">
            <v>2.3534252947909892E-2</v>
          </cell>
          <cell r="J531">
            <v>2.3040108844311433E-2</v>
          </cell>
        </row>
        <row r="532">
          <cell r="A532" t="str">
            <v>D-RNGA</v>
          </cell>
          <cell r="B532" t="str">
            <v>VAR_ncap</v>
          </cell>
          <cell r="C532" t="str">
            <v>-</v>
          </cell>
          <cell r="H532">
            <v>1.1485454715668501E-8</v>
          </cell>
          <cell r="I532">
            <v>1.5299493627341299E-8</v>
          </cell>
          <cell r="J532">
            <v>2.5732121714556499E-8</v>
          </cell>
        </row>
        <row r="533">
          <cell r="A533" t="str">
            <v>D-RNGA</v>
          </cell>
          <cell r="B533" t="str">
            <v>VAR_cap</v>
          </cell>
          <cell r="C533" t="str">
            <v>-</v>
          </cell>
          <cell r="H533">
            <v>3.0972400188813749</v>
          </cell>
          <cell r="I533">
            <v>3.0972400341808686</v>
          </cell>
          <cell r="J533">
            <v>1.5532823005532901</v>
          </cell>
        </row>
        <row r="534">
          <cell r="A534" t="str">
            <v>RHNS-SHLTHCHPNGA</v>
          </cell>
          <cell r="B534" t="str">
            <v>VAR_fout</v>
          </cell>
          <cell r="C534" t="str">
            <v>RHNS-SHLTHC-NGA</v>
          </cell>
        </row>
        <row r="535">
          <cell r="A535" t="str">
            <v>RHNS-SHLTHCHPNGA</v>
          </cell>
          <cell r="B535" t="str">
            <v>VAR_fin</v>
          </cell>
          <cell r="C535" t="str">
            <v>RHNSLTHCHPC</v>
          </cell>
        </row>
        <row r="536">
          <cell r="A536" t="str">
            <v>RHNS-SHLTHCHPNGA</v>
          </cell>
          <cell r="B536" t="str">
            <v>VAR_fin</v>
          </cell>
          <cell r="C536" t="str">
            <v>RHNS_LTH_CHPNGA_ON</v>
          </cell>
        </row>
        <row r="537">
          <cell r="A537" t="str">
            <v>RHNS-SHLTHCHPNGA</v>
          </cell>
          <cell r="B537" t="str">
            <v>VAR_ncap</v>
          </cell>
          <cell r="C537" t="str">
            <v>-</v>
          </cell>
          <cell r="H537">
            <v>1.9410376461158899E-4</v>
          </cell>
          <cell r="I537">
            <v>7.9511694688908901E-5</v>
          </cell>
        </row>
        <row r="538">
          <cell r="A538" t="str">
            <v>RHNS-SHLTHCHPNGA</v>
          </cell>
          <cell r="B538" t="str">
            <v>VAR_cap</v>
          </cell>
          <cell r="C538" t="str">
            <v>-</v>
          </cell>
          <cell r="H538">
            <v>3.5316759844937701E-4</v>
          </cell>
          <cell r="I538">
            <v>1.6195774244402603E-4</v>
          </cell>
          <cell r="J538">
            <v>-4.3513225599198409E-10</v>
          </cell>
        </row>
        <row r="539">
          <cell r="A539" t="str">
            <v>D-SCOM_KEV_BIO_ELC_CHP</v>
          </cell>
          <cell r="B539" t="str">
            <v>VAR_fout</v>
          </cell>
          <cell r="C539" t="str">
            <v>ELC5</v>
          </cell>
          <cell r="H539">
            <v>1.3861890801036418E-4</v>
          </cell>
          <cell r="I539">
            <v>1.2203097680133457E-4</v>
          </cell>
          <cell r="J539">
            <v>7.0734837712769233E-5</v>
          </cell>
        </row>
        <row r="540">
          <cell r="A540" t="str">
            <v>D-SCOM_KEV_BIO_ELC_CHP</v>
          </cell>
          <cell r="B540" t="str">
            <v>VAR_fout</v>
          </cell>
          <cell r="C540" t="str">
            <v>SCOM_ELC</v>
          </cell>
          <cell r="H540">
            <v>1.1057970755052178</v>
          </cell>
          <cell r="I540">
            <v>1.1058136658782811</v>
          </cell>
          <cell r="J540">
            <v>1.1058648432074041</v>
          </cell>
        </row>
        <row r="541">
          <cell r="A541" t="str">
            <v>D-SCOM_KEV_BIO_ELC_CHP</v>
          </cell>
          <cell r="B541" t="str">
            <v>VAR_fin</v>
          </cell>
          <cell r="C541" t="str">
            <v>SCOM_KEV_BIO_ELC_CHP</v>
          </cell>
          <cell r="H541">
            <v>1.1059355565805749</v>
          </cell>
          <cell r="I541">
            <v>1.1059355528743231</v>
          </cell>
          <cell r="J541">
            <v>1.1059354747937413</v>
          </cell>
        </row>
        <row r="542">
          <cell r="A542" t="str">
            <v>RHES-SHLTHCHPWOD</v>
          </cell>
          <cell r="B542" t="str">
            <v>VAR_ncap</v>
          </cell>
          <cell r="C542" t="str">
            <v>-</v>
          </cell>
          <cell r="H542">
            <v>1.6192241714044701E-5</v>
          </cell>
          <cell r="I542">
            <v>1.15048742069127E-5</v>
          </cell>
          <cell r="J542">
            <v>4.3890345367179E-6</v>
          </cell>
        </row>
        <row r="543">
          <cell r="A543" t="str">
            <v>RHES-SHLTHCHPWOD</v>
          </cell>
          <cell r="B543" t="str">
            <v>VAR_cap</v>
          </cell>
          <cell r="C543" t="str">
            <v>-</v>
          </cell>
          <cell r="H543">
            <v>2.0938397524936192E-5</v>
          </cell>
          <cell r="I543">
            <v>2.0220668449553399E-5</v>
          </cell>
          <cell r="J543">
            <v>8.1661552021907999E-6</v>
          </cell>
        </row>
        <row r="544">
          <cell r="A544" t="str">
            <v>RHES-SHSTG-NGAHP</v>
          </cell>
          <cell r="B544" t="str">
            <v>VAR_fout</v>
          </cell>
          <cell r="C544" t="str">
            <v>RHES-SHANGAH</v>
          </cell>
          <cell r="H544">
            <v>0.13134191931062092</v>
          </cell>
          <cell r="I544">
            <v>0.10096355730514733</v>
          </cell>
          <cell r="J544">
            <v>8.5299817381896764E-2</v>
          </cell>
        </row>
        <row r="545">
          <cell r="A545" t="str">
            <v>RHES-SHSTG-NGAHP</v>
          </cell>
          <cell r="B545" t="str">
            <v>VAR_fout</v>
          </cell>
          <cell r="C545" t="str">
            <v>AUX_RHES-SHSTG-NGAHP_OUT</v>
          </cell>
          <cell r="H545">
            <v>0.13147326122993155</v>
          </cell>
          <cell r="I545">
            <v>0.10106452086245254</v>
          </cell>
          <cell r="J545">
            <v>8.5385117199278618E-2</v>
          </cell>
        </row>
        <row r="546">
          <cell r="A546" t="str">
            <v>RHES-SHSTG-NGAHP</v>
          </cell>
          <cell r="B546" t="str">
            <v>VAR_fin</v>
          </cell>
          <cell r="C546" t="str">
            <v>RHES-SHANGAH</v>
          </cell>
          <cell r="H546">
            <v>0.13134219546680759</v>
          </cell>
          <cell r="I546">
            <v>0.10096381369777253</v>
          </cell>
          <cell r="J546">
            <v>8.5300064622368027E-2</v>
          </cell>
        </row>
        <row r="547">
          <cell r="A547" t="str">
            <v>RHES-SHSTG-NGAHP</v>
          </cell>
          <cell r="B547" t="str">
            <v>VAR_ncap</v>
          </cell>
          <cell r="C547" t="str">
            <v>-</v>
          </cell>
          <cell r="H547">
            <v>5.8582630317490597E-6</v>
          </cell>
          <cell r="I547">
            <v>1.4531117981064001E-2</v>
          </cell>
          <cell r="J547">
            <v>4.4561726278727802E-3</v>
          </cell>
        </row>
        <row r="548">
          <cell r="A548" t="str">
            <v>RHES-SHSTG-NGAHP</v>
          </cell>
          <cell r="B548" t="str">
            <v>VAR_cap</v>
          </cell>
          <cell r="C548" t="str">
            <v>-</v>
          </cell>
          <cell r="H548">
            <v>2.2012567346664152E-2</v>
          </cell>
          <cell r="I548">
            <v>1.8432515166405355E-2</v>
          </cell>
          <cell r="J548">
            <v>1.5001782559705638E-2</v>
          </cell>
        </row>
        <row r="549">
          <cell r="A549" t="str">
            <v>D-RHNS_SOLELC</v>
          </cell>
          <cell r="B549" t="str">
            <v>VAR_fout</v>
          </cell>
          <cell r="C549" t="str">
            <v>RHNS_ELC</v>
          </cell>
          <cell r="H549">
            <v>7.1907520014725455</v>
          </cell>
          <cell r="I549">
            <v>7.55759721162927</v>
          </cell>
          <cell r="J549">
            <v>8.3483265734339778</v>
          </cell>
        </row>
        <row r="550">
          <cell r="A550" t="str">
            <v>D-RHNS_SOLELC</v>
          </cell>
          <cell r="B550" t="str">
            <v>VAR_fout</v>
          </cell>
          <cell r="C550" t="str">
            <v>ELC5</v>
          </cell>
          <cell r="H550">
            <v>1.0465155873692253E-4</v>
          </cell>
          <cell r="I550">
            <v>7.9182554804118501E-5</v>
          </cell>
          <cell r="J550">
            <v>4.6230336146713691E-5</v>
          </cell>
        </row>
        <row r="551">
          <cell r="A551" t="str">
            <v>D-RHNS_SOLELC</v>
          </cell>
          <cell r="B551" t="str">
            <v>VAR_fin</v>
          </cell>
          <cell r="C551" t="str">
            <v>RHNS_SOL_ELC</v>
          </cell>
          <cell r="H551">
            <v>7.1908566530312807</v>
          </cell>
          <cell r="I551">
            <v>7.5576763941840728</v>
          </cell>
          <cell r="J551">
            <v>8.3483728037701237</v>
          </cell>
        </row>
        <row r="552">
          <cell r="A552" t="str">
            <v>D-IHFO</v>
          </cell>
          <cell r="B552" t="str">
            <v>VAR_fout</v>
          </cell>
          <cell r="C552" t="str">
            <v>CO2</v>
          </cell>
          <cell r="H552">
            <v>8.2206748295773902E-3</v>
          </cell>
          <cell r="I552">
            <v>2.9885715028613501E-2</v>
          </cell>
        </row>
        <row r="553">
          <cell r="A553" t="str">
            <v>D-IHFO</v>
          </cell>
          <cell r="B553" t="str">
            <v>VAR_fout</v>
          </cell>
          <cell r="C553" t="str">
            <v>IHFO</v>
          </cell>
          <cell r="H553">
            <v>1.0497896077385347E-4</v>
          </cell>
          <cell r="I553">
            <v>3.8164400985663037E-4</v>
          </cell>
        </row>
        <row r="554">
          <cell r="A554" t="str">
            <v>D-IHFO</v>
          </cell>
          <cell r="B554" t="str">
            <v>VAR_fin</v>
          </cell>
          <cell r="C554" t="str">
            <v>HFO</v>
          </cell>
          <cell r="H554">
            <v>1.0676201077373232E-4</v>
          </cell>
          <cell r="I554">
            <v>3.8812616920277308E-4</v>
          </cell>
        </row>
        <row r="555">
          <cell r="A555" t="str">
            <v>RHEM-SHCONBR</v>
          </cell>
          <cell r="B555" t="str">
            <v>VAR_fout</v>
          </cell>
          <cell r="C555" t="str">
            <v>RHEM-SHCON</v>
          </cell>
          <cell r="H555">
            <v>3.5617650626119436E-5</v>
          </cell>
          <cell r="I555">
            <v>3.7361944018039463E-5</v>
          </cell>
          <cell r="J555">
            <v>9.7991439953119323E-5</v>
          </cell>
        </row>
        <row r="556">
          <cell r="A556" t="str">
            <v>RHEM-SHCONBR</v>
          </cell>
          <cell r="B556" t="str">
            <v>VAR_fin</v>
          </cell>
          <cell r="C556" t="str">
            <v>CON</v>
          </cell>
          <cell r="H556">
            <v>3.5617650626119436E-5</v>
          </cell>
          <cell r="I556">
            <v>3.7361944018039463E-5</v>
          </cell>
          <cell r="J556">
            <v>9.7991439953119323E-5</v>
          </cell>
        </row>
        <row r="557">
          <cell r="A557" t="str">
            <v>RHEM-SHCONBR</v>
          </cell>
          <cell r="B557" t="str">
            <v>VAR_ncap</v>
          </cell>
          <cell r="C557" t="str">
            <v>-</v>
          </cell>
          <cell r="H557">
            <v>1.4268986666331299E-6</v>
          </cell>
          <cell r="I557">
            <v>9.1003724534101605E-8</v>
          </cell>
          <cell r="J557">
            <v>4.1730747480161404E-6</v>
          </cell>
        </row>
        <row r="558">
          <cell r="A558" t="str">
            <v>RHEM-SHCONBR</v>
          </cell>
          <cell r="B558" t="str">
            <v>VAR_cap</v>
          </cell>
          <cell r="C558" t="str">
            <v>-</v>
          </cell>
          <cell r="H558">
            <v>2.8352253183711598E-6</v>
          </cell>
          <cell r="I558">
            <v>2.9262290429052598E-6</v>
          </cell>
          <cell r="J558">
            <v>7.0993037909214003E-6</v>
          </cell>
        </row>
        <row r="559">
          <cell r="A559" t="str">
            <v>RHEM-SHSOLBR</v>
          </cell>
          <cell r="B559" t="str">
            <v>VAR_fout</v>
          </cell>
          <cell r="C559" t="str">
            <v>RHEM-SHASOL</v>
          </cell>
          <cell r="H559">
            <v>1.3871003958270581E-2</v>
          </cell>
          <cell r="I559">
            <v>1.5188377158155695E-2</v>
          </cell>
          <cell r="J559">
            <v>1.4776725935340686E-2</v>
          </cell>
        </row>
        <row r="560">
          <cell r="A560" t="str">
            <v>RHEM-SHSOLBR</v>
          </cell>
          <cell r="B560" t="str">
            <v>VAR_fin</v>
          </cell>
          <cell r="C560" t="str">
            <v>SOL</v>
          </cell>
          <cell r="H560">
            <v>1.3871003958270581E-2</v>
          </cell>
          <cell r="I560">
            <v>1.5188377158155695E-2</v>
          </cell>
          <cell r="J560">
            <v>1.4776725935340686E-2</v>
          </cell>
        </row>
        <row r="561">
          <cell r="A561" t="str">
            <v>RHEM-SHSOLBR</v>
          </cell>
          <cell r="B561" t="str">
            <v>VAR_ncap</v>
          </cell>
          <cell r="C561" t="str">
            <v>-</v>
          </cell>
          <cell r="H561">
            <v>2.8718503443142599E-8</v>
          </cell>
          <cell r="I561">
            <v>2.2082246360503599E-3</v>
          </cell>
          <cell r="J561">
            <v>9.9378122596463394E-4</v>
          </cell>
        </row>
        <row r="562">
          <cell r="A562" t="str">
            <v>RHEM-SHSOLBR</v>
          </cell>
          <cell r="B562" t="str">
            <v>VAR_cap</v>
          </cell>
          <cell r="C562" t="str">
            <v>-</v>
          </cell>
          <cell r="H562">
            <v>2.0007409457641803E-2</v>
          </cell>
          <cell r="I562">
            <v>2.208230660835774E-3</v>
          </cell>
          <cell r="J562">
            <v>2.5963601629669609E-3</v>
          </cell>
        </row>
        <row r="563">
          <cell r="A563" t="str">
            <v>SCOM-SHH2BR</v>
          </cell>
          <cell r="B563" t="str">
            <v>VAR_ncap</v>
          </cell>
          <cell r="C563" t="str">
            <v>-</v>
          </cell>
          <cell r="H563">
            <v>9.9900302289173304E-7</v>
          </cell>
          <cell r="I563">
            <v>0.14186343824745401</v>
          </cell>
          <cell r="J563">
            <v>0.15616138525309001</v>
          </cell>
        </row>
        <row r="564">
          <cell r="A564" t="str">
            <v>SCOM-SHH2BR</v>
          </cell>
          <cell r="B564" t="str">
            <v>VAR_cap</v>
          </cell>
          <cell r="C564" t="str">
            <v>-</v>
          </cell>
          <cell r="H564">
            <v>1.03961992429079E-6</v>
          </cell>
          <cell r="I564">
            <v>0.14186439883663865</v>
          </cell>
          <cell r="J564">
            <v>0.25911675727152766</v>
          </cell>
        </row>
        <row r="565">
          <cell r="A565" t="str">
            <v>ITOT-SWHCONBR1</v>
          </cell>
          <cell r="B565" t="str">
            <v>VAR_fout</v>
          </cell>
          <cell r="C565" t="str">
            <v>ITOT-ELS</v>
          </cell>
          <cell r="H565">
            <v>0.97003799633878296</v>
          </cell>
          <cell r="I565">
            <v>0.97003803714607595</v>
          </cell>
          <cell r="J565">
            <v>0.97003809850806721</v>
          </cell>
        </row>
        <row r="566">
          <cell r="A566" t="str">
            <v>ITOT-SWHCONBR1</v>
          </cell>
          <cell r="B566" t="str">
            <v>VAR_fout</v>
          </cell>
          <cell r="C566" t="str">
            <v>ITOT-SWHC</v>
          </cell>
          <cell r="H566">
            <v>4.6114157311375017</v>
          </cell>
          <cell r="I566">
            <v>4.6114159251292861</v>
          </cell>
          <cell r="J566">
            <v>4.6114162168350221</v>
          </cell>
        </row>
        <row r="567">
          <cell r="A567" t="str">
            <v>ITOT-SWHCONBR1</v>
          </cell>
          <cell r="B567" t="str">
            <v>VAR_fin</v>
          </cell>
          <cell r="C567" t="str">
            <v>CON</v>
          </cell>
          <cell r="H567">
            <v>5.5814537274762914</v>
          </cell>
          <cell r="I567">
            <v>5.581453962275357</v>
          </cell>
          <cell r="J567">
            <v>5.5814543153430893</v>
          </cell>
        </row>
        <row r="568">
          <cell r="A568" t="str">
            <v>ITOT-SWHCONBR1</v>
          </cell>
          <cell r="B568" t="str">
            <v>VAR_ncap</v>
          </cell>
          <cell r="C568" t="str">
            <v>-</v>
          </cell>
          <cell r="H568">
            <v>8.9912302860001306E-2</v>
          </cell>
          <cell r="I568">
            <v>0.107369061342534</v>
          </cell>
          <cell r="J568">
            <v>0.187584558764534</v>
          </cell>
        </row>
        <row r="569">
          <cell r="A569" t="str">
            <v>ITOT-SWHCONBR1</v>
          </cell>
          <cell r="B569" t="str">
            <v>VAR_cap</v>
          </cell>
          <cell r="C569" t="str">
            <v>-</v>
          </cell>
          <cell r="H569">
            <v>0.303537021601266</v>
          </cell>
          <cell r="I569">
            <v>0.30353680030519697</v>
          </cell>
          <cell r="J569">
            <v>0.30353830920762798</v>
          </cell>
        </row>
        <row r="570">
          <cell r="A570" t="str">
            <v>SCOM-SHLTHCHPWOD</v>
          </cell>
          <cell r="B570" t="str">
            <v>VAR_ncap</v>
          </cell>
          <cell r="C570" t="str">
            <v>-</v>
          </cell>
          <cell r="H570">
            <v>1.6797660190502102E-5</v>
          </cell>
          <cell r="I570">
            <v>1.3229683879157E-5</v>
          </cell>
          <cell r="J570">
            <v>3.8564169206291003E-6</v>
          </cell>
        </row>
        <row r="571">
          <cell r="A571" t="str">
            <v>SCOM-SHLTHCHPWOD</v>
          </cell>
          <cell r="B571" t="str">
            <v>VAR_cap</v>
          </cell>
          <cell r="C571" t="str">
            <v>-</v>
          </cell>
          <cell r="H571">
            <v>2.107522311825054E-5</v>
          </cell>
          <cell r="I571">
            <v>2.0271513553498497E-5</v>
          </cell>
          <cell r="J571">
            <v>7.2906592023461988E-6</v>
          </cell>
        </row>
        <row r="572">
          <cell r="A572" t="str">
            <v>SCOM-SHSTG-NGAHP</v>
          </cell>
          <cell r="B572" t="str">
            <v>VAR_fout</v>
          </cell>
          <cell r="C572" t="str">
            <v>SCOM-SHANGAH</v>
          </cell>
          <cell r="H572">
            <v>1.8652801112499409E-3</v>
          </cell>
          <cell r="I572">
            <v>1.4004057394679695E-2</v>
          </cell>
          <cell r="J572">
            <v>4.7810933238117217E-4</v>
          </cell>
        </row>
        <row r="573">
          <cell r="A573" t="str">
            <v>SCOM-SHSTG-NGAHP</v>
          </cell>
          <cell r="B573" t="str">
            <v>VAR_fin</v>
          </cell>
          <cell r="C573" t="str">
            <v>SCOM-SHANGAH</v>
          </cell>
          <cell r="H573">
            <v>2.2872824686233782E-3</v>
          </cell>
          <cell r="I573">
            <v>1.6504236814607436E-2</v>
          </cell>
          <cell r="J573">
            <v>5.4432922665455306E-4</v>
          </cell>
        </row>
        <row r="574">
          <cell r="A574" t="str">
            <v>SCOM-SHSTG-NGAHP</v>
          </cell>
          <cell r="B574" t="str">
            <v>VAR_ncap</v>
          </cell>
          <cell r="C574" t="str">
            <v>-</v>
          </cell>
          <cell r="H574">
            <v>1.6891591418791801E-2</v>
          </cell>
          <cell r="I574">
            <v>4.9895178011760397E-2</v>
          </cell>
          <cell r="J574">
            <v>4.1914542105209902E-2</v>
          </cell>
        </row>
        <row r="575">
          <cell r="A575" t="str">
            <v>SCOM-SHSTG-NGAHP</v>
          </cell>
          <cell r="B575" t="str">
            <v>VAR_cap</v>
          </cell>
          <cell r="C575" t="str">
            <v>-</v>
          </cell>
          <cell r="H575">
            <v>6.8413331156665952E-2</v>
          </cell>
          <cell r="I575">
            <v>8.6427141724713538E-2</v>
          </cell>
          <cell r="J575">
            <v>8.5264069943264298E-2</v>
          </cell>
        </row>
        <row r="576">
          <cell r="A576" t="str">
            <v>ITOT-SWHCONBR2</v>
          </cell>
          <cell r="B576" t="str">
            <v>VAR_fout</v>
          </cell>
          <cell r="C576" t="str">
            <v>ITOT-ELS</v>
          </cell>
          <cell r="H576">
            <v>0.88000060596804974</v>
          </cell>
          <cell r="I576">
            <v>0.88000110874953474</v>
          </cell>
          <cell r="J576">
            <v>0.8800012048298812</v>
          </cell>
        </row>
        <row r="577">
          <cell r="A577" t="str">
            <v>ITOT-SWHCONBR2</v>
          </cell>
          <cell r="B577" t="str">
            <v>VAR_fout</v>
          </cell>
          <cell r="C577" t="str">
            <v>ITOT-SWHC</v>
          </cell>
          <cell r="H577">
            <v>1.3603125299114152</v>
          </cell>
          <cell r="I577">
            <v>1.3603133071153732</v>
          </cell>
          <cell r="J577">
            <v>1.3603134556372014</v>
          </cell>
        </row>
        <row r="578">
          <cell r="A578" t="str">
            <v>ITOT-SWHCONBR2</v>
          </cell>
          <cell r="B578" t="str">
            <v>VAR_fin</v>
          </cell>
          <cell r="C578" t="str">
            <v>CON</v>
          </cell>
          <cell r="H578">
            <v>2.2403131358794637</v>
          </cell>
          <cell r="I578">
            <v>2.2403144158649093</v>
          </cell>
          <cell r="J578">
            <v>2.2403146604670807</v>
          </cell>
        </row>
        <row r="579">
          <cell r="A579" t="str">
            <v>ITOT-SWHCONBR2</v>
          </cell>
          <cell r="B579" t="str">
            <v>VAR_ncap</v>
          </cell>
          <cell r="C579" t="str">
            <v>-</v>
          </cell>
          <cell r="H579">
            <v>0.12183051813942899</v>
          </cell>
          <cell r="I579">
            <v>2.70272505814635E-6</v>
          </cell>
          <cell r="J579">
            <v>7.0320566263720297E-2</v>
          </cell>
        </row>
        <row r="580">
          <cell r="A580" t="str">
            <v>ITOT-SWHCONBR2</v>
          </cell>
          <cell r="B580" t="str">
            <v>VAR_cap</v>
          </cell>
          <cell r="C580" t="str">
            <v>-</v>
          </cell>
          <cell r="H580">
            <v>0.121836122416873</v>
          </cell>
          <cell r="I580">
            <v>0.121837048509257</v>
          </cell>
          <cell r="J580">
            <v>0.121856185265273</v>
          </cell>
        </row>
        <row r="581">
          <cell r="A581" t="str">
            <v>RHES-SHCONBR1</v>
          </cell>
          <cell r="B581" t="str">
            <v>VAR_fout</v>
          </cell>
          <cell r="C581" t="str">
            <v>RHES-SHCON</v>
          </cell>
          <cell r="H581">
            <v>3.4804577202601856</v>
          </cell>
          <cell r="I581">
            <v>4.0393502382541397</v>
          </cell>
          <cell r="J581">
            <v>6.414215835014395</v>
          </cell>
        </row>
        <row r="582">
          <cell r="A582" t="str">
            <v>RHES-SHCONBR1</v>
          </cell>
          <cell r="B582" t="str">
            <v>VAR_fin</v>
          </cell>
          <cell r="C582" t="str">
            <v>CON</v>
          </cell>
          <cell r="H582">
            <v>3.4804577202601856</v>
          </cell>
          <cell r="I582">
            <v>4.0393502382541397</v>
          </cell>
          <cell r="J582">
            <v>6.414215835014395</v>
          </cell>
        </row>
        <row r="583">
          <cell r="A583" t="str">
            <v>RHES-SHCONBR1</v>
          </cell>
          <cell r="B583" t="str">
            <v>VAR_ncap</v>
          </cell>
          <cell r="C583" t="str">
            <v>-</v>
          </cell>
          <cell r="H583">
            <v>0.126135672920031</v>
          </cell>
          <cell r="I583">
            <v>4.5150781801635197E-2</v>
          </cell>
          <cell r="J583">
            <v>0.23378322109378499</v>
          </cell>
        </row>
        <row r="584">
          <cell r="A584" t="str">
            <v>RHES-SHCONBR1</v>
          </cell>
          <cell r="B584" t="str">
            <v>VAR_cap</v>
          </cell>
          <cell r="C584" t="str">
            <v>-</v>
          </cell>
          <cell r="H584">
            <v>0.28118013776305861</v>
          </cell>
          <cell r="I584">
            <v>0.32633092993783602</v>
          </cell>
          <cell r="J584">
            <v>0.51819066659117297</v>
          </cell>
        </row>
        <row r="585">
          <cell r="A585" t="str">
            <v>ITOT-SWHCONBR3</v>
          </cell>
          <cell r="B585" t="str">
            <v>VAR_fout</v>
          </cell>
          <cell r="C585" t="str">
            <v>ITOT-ELS</v>
          </cell>
          <cell r="H585">
            <v>0.68993743906403016</v>
          </cell>
          <cell r="I585">
            <v>2.2995632231853826</v>
          </cell>
          <cell r="J585">
            <v>2.2995805934155569</v>
          </cell>
        </row>
        <row r="586">
          <cell r="A586" t="str">
            <v>ITOT-SWHCONBR3</v>
          </cell>
          <cell r="B586" t="str">
            <v>VAR_fout</v>
          </cell>
          <cell r="C586" t="str">
            <v>ITOT-SWHC</v>
          </cell>
          <cell r="H586">
            <v>1.3692199856226355</v>
          </cell>
          <cell r="I586">
            <v>4.5636136627976525</v>
          </cell>
          <cell r="J586">
            <v>4.5636481350047866</v>
          </cell>
        </row>
        <row r="587">
          <cell r="A587" t="str">
            <v>ITOT-SWHCONBR3</v>
          </cell>
          <cell r="B587" t="str">
            <v>VAR_fin</v>
          </cell>
          <cell r="C587" t="str">
            <v>CON</v>
          </cell>
          <cell r="H587">
            <v>2.059157424686668</v>
          </cell>
          <cell r="I587">
            <v>6.8631768859830382</v>
          </cell>
          <cell r="J587">
            <v>6.8632287284203457</v>
          </cell>
        </row>
        <row r="588">
          <cell r="A588" t="str">
            <v>ITOT-SWHCONBR3</v>
          </cell>
          <cell r="B588" t="str">
            <v>VAR_ncap</v>
          </cell>
          <cell r="C588" t="str">
            <v>-</v>
          </cell>
          <cell r="H588">
            <v>0.111980906983183</v>
          </cell>
          <cell r="I588">
            <v>0.26125739617562599</v>
          </cell>
          <cell r="J588">
            <v>0.13634263207021</v>
          </cell>
        </row>
        <row r="589">
          <cell r="A589" t="str">
            <v>ITOT-SWHCONBR3</v>
          </cell>
          <cell r="B589" t="str">
            <v>VAR_cap</v>
          </cell>
          <cell r="C589" t="str">
            <v>-</v>
          </cell>
          <cell r="H589">
            <v>0.111984128546467</v>
          </cell>
          <cell r="I589">
            <v>0.37324050344242798</v>
          </cell>
          <cell r="J589">
            <v>0.37331320754181402</v>
          </cell>
        </row>
        <row r="590">
          <cell r="A590" t="str">
            <v>ITOT-ELCSPECADV</v>
          </cell>
          <cell r="B590" t="str">
            <v>VAR_fout</v>
          </cell>
          <cell r="C590" t="str">
            <v>ITOT-ELS</v>
          </cell>
          <cell r="H590">
            <v>6.8788045377105454E-5</v>
          </cell>
          <cell r="I590">
            <v>7.5595667972945806E-5</v>
          </cell>
          <cell r="J590">
            <v>9.0804486488209926E-5</v>
          </cell>
        </row>
        <row r="591">
          <cell r="A591" t="str">
            <v>ITOT-ELCSPECADV</v>
          </cell>
          <cell r="B591" t="str">
            <v>VAR_fin</v>
          </cell>
          <cell r="C591" t="str">
            <v>ITOT_ELC</v>
          </cell>
          <cell r="H591">
            <v>6.3988879420563143E-5</v>
          </cell>
          <cell r="I591">
            <v>6.8723334520859837E-5</v>
          </cell>
          <cell r="J591">
            <v>7.8960423033226033E-5</v>
          </cell>
        </row>
        <row r="592">
          <cell r="A592" t="str">
            <v>ITOT-ELCSPECADV</v>
          </cell>
          <cell r="B592" t="str">
            <v>VAR_ncap</v>
          </cell>
          <cell r="C592" t="str">
            <v>-</v>
          </cell>
          <cell r="H592">
            <v>2.1826087571416501E-6</v>
          </cell>
          <cell r="I592">
            <v>1.5731945596202401E-7</v>
          </cell>
          <cell r="J592">
            <v>3.9632977150117898E-7</v>
          </cell>
        </row>
        <row r="593">
          <cell r="A593" t="str">
            <v>ITOT-ELCSPECADV</v>
          </cell>
          <cell r="B593" t="str">
            <v>VAR_cap</v>
          </cell>
          <cell r="C593" t="str">
            <v>-</v>
          </cell>
          <cell r="H593">
            <v>5.7233811096188398E-6</v>
          </cell>
          <cell r="I593">
            <v>5.853979545032061E-6</v>
          </cell>
          <cell r="J593">
            <v>4.9940939100354758E-6</v>
          </cell>
        </row>
        <row r="594">
          <cell r="A594" t="str">
            <v>RHES-SHELCBR</v>
          </cell>
          <cell r="B594" t="str">
            <v>VAR_fout</v>
          </cell>
          <cell r="C594" t="str">
            <v>RHES-SHAELCB</v>
          </cell>
          <cell r="H594">
            <v>1.2167843292002902E-2</v>
          </cell>
          <cell r="I594">
            <v>2.1828018213289457E-3</v>
          </cell>
          <cell r="J594">
            <v>6.1312766150313958E-4</v>
          </cell>
        </row>
        <row r="595">
          <cell r="A595" t="str">
            <v>RHES-SHELCBR</v>
          </cell>
          <cell r="B595" t="str">
            <v>VAR_fin</v>
          </cell>
          <cell r="C595" t="str">
            <v>RHES_ELC</v>
          </cell>
          <cell r="H595">
            <v>1.3249350788048304E-2</v>
          </cell>
          <cell r="I595">
            <v>2.3768145543578388E-3</v>
          </cell>
          <cell r="J595">
            <v>6.6146460317055328E-4</v>
          </cell>
        </row>
        <row r="596">
          <cell r="A596" t="str">
            <v>RHES-SHELCBR</v>
          </cell>
          <cell r="B596" t="str">
            <v>VAR_ncap</v>
          </cell>
          <cell r="C596" t="str">
            <v>-</v>
          </cell>
          <cell r="H596">
            <v>3.9263018605500598E-7</v>
          </cell>
          <cell r="I596">
            <v>1.76448201730984E-4</v>
          </cell>
          <cell r="J596">
            <v>1.4214152742597001E-8</v>
          </cell>
        </row>
        <row r="597">
          <cell r="A597" t="str">
            <v>RHES-SHELCBR</v>
          </cell>
          <cell r="B597" t="str">
            <v>VAR_cap</v>
          </cell>
          <cell r="C597" t="str">
            <v>-</v>
          </cell>
          <cell r="H597">
            <v>1.8126971888099697E-3</v>
          </cell>
          <cell r="I597">
            <v>1.7683865532557689E-4</v>
          </cell>
          <cell r="J597">
            <v>4.9530868050668897E-5</v>
          </cell>
        </row>
        <row r="598">
          <cell r="A598" t="str">
            <v>RHSA-WHELCBR</v>
          </cell>
          <cell r="B598" t="str">
            <v>VAR_fout</v>
          </cell>
          <cell r="C598" t="str">
            <v>RHSA-WHAELCB</v>
          </cell>
          <cell r="H598">
            <v>1.9993667455131277</v>
          </cell>
          <cell r="I598">
            <v>1.890601873239685</v>
          </cell>
          <cell r="J598">
            <v>1.6792256620701587</v>
          </cell>
        </row>
        <row r="599">
          <cell r="A599" t="str">
            <v>RHSA-WHELCBR</v>
          </cell>
          <cell r="B599" t="str">
            <v>VAR_fin</v>
          </cell>
          <cell r="C599" t="str">
            <v>RHSA_ELC</v>
          </cell>
          <cell r="H599">
            <v>4.0192069231897669</v>
          </cell>
          <cell r="I599">
            <v>3.7414033158341629</v>
          </cell>
          <cell r="J599">
            <v>3.2415397109779143</v>
          </cell>
        </row>
        <row r="600">
          <cell r="A600" t="str">
            <v>RHSA-WHELCBR</v>
          </cell>
          <cell r="B600" t="str">
            <v>VAR_ncap</v>
          </cell>
          <cell r="C600" t="str">
            <v>-</v>
          </cell>
          <cell r="H600">
            <v>6.8671197956627697E-2</v>
          </cell>
          <cell r="I600">
            <v>7.1099696297607998E-2</v>
          </cell>
          <cell r="J600">
            <v>5.0573860146386297E-2</v>
          </cell>
        </row>
        <row r="601">
          <cell r="A601" t="str">
            <v>RHSA-WHELCBR</v>
          </cell>
          <cell r="B601" t="str">
            <v>VAR_cap</v>
          </cell>
          <cell r="C601" t="str">
            <v>-</v>
          </cell>
          <cell r="H601">
            <v>0.13945263280203779</v>
          </cell>
          <cell r="I601">
            <v>0.13977087855821529</v>
          </cell>
          <cell r="J601">
            <v>0.13122077152276576</v>
          </cell>
        </row>
        <row r="602">
          <cell r="A602" t="str">
            <v>ITOT-SWHLTHDH</v>
          </cell>
          <cell r="B602" t="str">
            <v>VAR_fout</v>
          </cell>
          <cell r="C602" t="str">
            <v>ITOT-SWH</v>
          </cell>
          <cell r="H602">
            <v>7.1660376807446635</v>
          </cell>
          <cell r="I602">
            <v>7.203795793048033</v>
          </cell>
          <cell r="J602">
            <v>8.1311587034563271</v>
          </cell>
        </row>
        <row r="603">
          <cell r="A603" t="str">
            <v>ITOT-SWHLTHDH</v>
          </cell>
          <cell r="B603" t="str">
            <v>VAR_fin</v>
          </cell>
          <cell r="C603" t="str">
            <v>ITOT_LTH_DH</v>
          </cell>
          <cell r="H603">
            <v>7.6289061057136474</v>
          </cell>
          <cell r="I603">
            <v>7.628898783964126</v>
          </cell>
          <cell r="J603">
            <v>8.5591144246908701</v>
          </cell>
        </row>
        <row r="604">
          <cell r="A604" t="str">
            <v>ITOT-SWHLTHDH</v>
          </cell>
          <cell r="B604" t="str">
            <v>VAR_fin</v>
          </cell>
          <cell r="C604" t="str">
            <v>ITOTLTHDHC</v>
          </cell>
          <cell r="H604">
            <v>7.1660376807446635</v>
          </cell>
          <cell r="I604">
            <v>7.203795793048033</v>
          </cell>
          <cell r="J604">
            <v>8.1311587034563271</v>
          </cell>
        </row>
        <row r="605">
          <cell r="A605" t="str">
            <v>ITOT-SWHLTHDH</v>
          </cell>
          <cell r="B605" t="str">
            <v>VAR_ncap</v>
          </cell>
          <cell r="C605" t="str">
            <v>-</v>
          </cell>
          <cell r="H605">
            <v>0.17209800298714301</v>
          </cell>
          <cell r="I605">
            <v>0.37584652845481298</v>
          </cell>
          <cell r="J605">
            <v>0.36405102282880297</v>
          </cell>
        </row>
        <row r="606">
          <cell r="A606" t="str">
            <v>ITOT-SWHLTHDH</v>
          </cell>
          <cell r="B606" t="str">
            <v>VAR_cap</v>
          </cell>
          <cell r="C606" t="str">
            <v>-</v>
          </cell>
          <cell r="H606">
            <v>0.49435677338474798</v>
          </cell>
          <cell r="I606">
            <v>0.57765474413757989</v>
          </cell>
          <cell r="J606">
            <v>0.70461339850744809</v>
          </cell>
        </row>
        <row r="607">
          <cell r="A607" t="str">
            <v>RHES-SHCONBR2</v>
          </cell>
          <cell r="B607" t="str">
            <v>VAR_fout</v>
          </cell>
          <cell r="C607" t="str">
            <v>RHES-SHCON</v>
          </cell>
          <cell r="H607">
            <v>1.4192713331035951</v>
          </cell>
          <cell r="I607">
            <v>2.9191119793885116</v>
          </cell>
          <cell r="J607">
            <v>4.6680486802075523</v>
          </cell>
        </row>
        <row r="608">
          <cell r="A608" t="str">
            <v>RHES-SHCONBR2</v>
          </cell>
          <cell r="B608" t="str">
            <v>VAR_fin</v>
          </cell>
          <cell r="C608" t="str">
            <v>CON</v>
          </cell>
          <cell r="H608">
            <v>1.4192713331035951</v>
          </cell>
          <cell r="I608">
            <v>2.9191119793885116</v>
          </cell>
          <cell r="J608">
            <v>4.6680486802075523</v>
          </cell>
        </row>
        <row r="609">
          <cell r="A609" t="str">
            <v>RHES-SHCONBR2</v>
          </cell>
          <cell r="B609" t="str">
            <v>VAR_ncap</v>
          </cell>
          <cell r="C609" t="str">
            <v>-</v>
          </cell>
          <cell r="H609">
            <v>4.8360778422795299E-2</v>
          </cell>
          <cell r="I609">
            <v>0.12116781738028801</v>
          </cell>
          <cell r="J609">
            <v>0.171802780147012</v>
          </cell>
        </row>
        <row r="610">
          <cell r="A610" t="str">
            <v>RHES-SHCONBR2</v>
          </cell>
          <cell r="B610" t="str">
            <v>VAR_cap</v>
          </cell>
          <cell r="C610" t="str">
            <v>-</v>
          </cell>
          <cell r="H610">
            <v>0.11466163061664128</v>
          </cell>
          <cell r="I610">
            <v>0.23582945835599001</v>
          </cell>
          <cell r="J610">
            <v>0.37712174957452799</v>
          </cell>
        </row>
        <row r="611">
          <cell r="A611" t="str">
            <v>ITOT-SWHCONBR4</v>
          </cell>
          <cell r="B611" t="str">
            <v>VAR_fout</v>
          </cell>
          <cell r="C611" t="str">
            <v>ITOT-ELS</v>
          </cell>
          <cell r="H611">
            <v>2.1456289928278382E-5</v>
          </cell>
          <cell r="I611">
            <v>2.1519281105332054E-5</v>
          </cell>
          <cell r="J611">
            <v>2.7160568419728134E-5</v>
          </cell>
        </row>
        <row r="612">
          <cell r="A612" t="str">
            <v>ITOT-SWHCONBR4</v>
          </cell>
          <cell r="B612" t="str">
            <v>VAR_fout</v>
          </cell>
          <cell r="C612" t="str">
            <v>ITOT-SWHC</v>
          </cell>
          <cell r="H612">
            <v>2.306696350335259E-4</v>
          </cell>
          <cell r="I612">
            <v>2.3134684166070457E-4</v>
          </cell>
          <cell r="J612">
            <v>2.9188209241877758E-4</v>
          </cell>
        </row>
        <row r="613">
          <cell r="A613" t="str">
            <v>ITOT-SWHCONBR4</v>
          </cell>
          <cell r="B613" t="str">
            <v>VAR_fin</v>
          </cell>
          <cell r="C613" t="str">
            <v>CON</v>
          </cell>
          <cell r="H613">
            <v>2.5213418721884079E-4</v>
          </cell>
          <cell r="I613">
            <v>2.5287441010295847E-4</v>
          </cell>
          <cell r="J613">
            <v>3.1904266083850535E-4</v>
          </cell>
        </row>
        <row r="614">
          <cell r="A614" t="str">
            <v>ITOT-SWHCONBR4</v>
          </cell>
          <cell r="B614" t="str">
            <v>VAR_ncap</v>
          </cell>
          <cell r="C614" t="str">
            <v>-</v>
          </cell>
          <cell r="H614">
            <v>1.36851355433676E-5</v>
          </cell>
          <cell r="I614">
            <v>4.3493997683495397E-8</v>
          </cell>
          <cell r="J614">
            <v>1.1523707315589299E-5</v>
          </cell>
        </row>
        <row r="615">
          <cell r="A615" t="str">
            <v>ITOT-SWHCONBR4</v>
          </cell>
          <cell r="B615" t="str">
            <v>VAR_cap</v>
          </cell>
          <cell r="C615" t="str">
            <v>-</v>
          </cell>
          <cell r="H615">
            <v>1.36851355433676E-5</v>
          </cell>
          <cell r="I615">
            <v>1.3728629541051099E-5</v>
          </cell>
          <cell r="J615">
            <v>1.7344011505549299E-5</v>
          </cell>
        </row>
        <row r="616">
          <cell r="A616" t="str">
            <v>D-ITOT_NKEV_GAS_ELC_CHP</v>
          </cell>
          <cell r="B616" t="str">
            <v>VAR_fout</v>
          </cell>
          <cell r="C616" t="str">
            <v>ITOT_ELC</v>
          </cell>
          <cell r="H616">
            <v>0.2312675415925394</v>
          </cell>
          <cell r="I616">
            <v>0.64699057395087722</v>
          </cell>
          <cell r="J616">
            <v>0.66366464526269675</v>
          </cell>
        </row>
        <row r="617">
          <cell r="A617" t="str">
            <v>D-ITOT_NKEV_GAS_ELC_CHP</v>
          </cell>
          <cell r="B617" t="str">
            <v>VAR_fout</v>
          </cell>
          <cell r="C617" t="str">
            <v>ELC5</v>
          </cell>
          <cell r="H617">
            <v>4.694131289631904E-4</v>
          </cell>
          <cell r="I617">
            <v>2.2977784159839584E-2</v>
          </cell>
          <cell r="J617">
            <v>6.3036756676641478E-3</v>
          </cell>
        </row>
        <row r="618">
          <cell r="A618" t="str">
            <v>D-ITOT_NKEV_GAS_ELC_CHP</v>
          </cell>
          <cell r="B618" t="str">
            <v>VAR_fin</v>
          </cell>
          <cell r="C618" t="str">
            <v>ITOT_NKEV_GAS_ELC_CHP</v>
          </cell>
          <cell r="H618">
            <v>0.23173695472150269</v>
          </cell>
          <cell r="I618">
            <v>0.66996835811071664</v>
          </cell>
          <cell r="J618">
            <v>0.66996832093036096</v>
          </cell>
        </row>
        <row r="619">
          <cell r="A619" t="str">
            <v>SCOM-SHELCBR</v>
          </cell>
          <cell r="B619" t="str">
            <v>VAR_fout</v>
          </cell>
          <cell r="C619" t="str">
            <v>SCOM-SHAELCB</v>
          </cell>
          <cell r="H619">
            <v>0.23861732484913808</v>
          </cell>
          <cell r="I619">
            <v>0.20316338167825515</v>
          </cell>
          <cell r="J619">
            <v>0.1499654128727328</v>
          </cell>
        </row>
        <row r="620">
          <cell r="A620" t="str">
            <v>SCOM-SHELCBR</v>
          </cell>
          <cell r="B620" t="str">
            <v>VAR_fin</v>
          </cell>
          <cell r="C620" t="str">
            <v>SCOM_ELC</v>
          </cell>
          <cell r="H620">
            <v>0.47631170172590664</v>
          </cell>
          <cell r="I620">
            <v>0.39591742621900367</v>
          </cell>
          <cell r="J620">
            <v>0.27933063172858741</v>
          </cell>
        </row>
        <row r="621">
          <cell r="A621" t="str">
            <v>SCOM-SHELCBR</v>
          </cell>
          <cell r="B621" t="str">
            <v>VAR_ncap</v>
          </cell>
          <cell r="C621" t="str">
            <v>-</v>
          </cell>
          <cell r="H621">
            <v>1.4419471536062701E-2</v>
          </cell>
          <cell r="I621">
            <v>6.6703171144002699E-3</v>
          </cell>
          <cell r="J621">
            <v>5.3516042222291902E-3</v>
          </cell>
        </row>
        <row r="622">
          <cell r="A622" t="str">
            <v>SCOM-SHELCBR</v>
          </cell>
          <cell r="B622" t="str">
            <v>VAR_cap</v>
          </cell>
          <cell r="C622" t="str">
            <v>-</v>
          </cell>
          <cell r="H622">
            <v>2.3651964647966595E-2</v>
          </cell>
          <cell r="I622">
            <v>2.1089766793858385E-2</v>
          </cell>
          <cell r="J622">
            <v>1.6291640366181248E-2</v>
          </cell>
        </row>
        <row r="623">
          <cell r="A623" t="str">
            <v>RHES-SHCONBR3</v>
          </cell>
          <cell r="B623" t="str">
            <v>VAR_fout</v>
          </cell>
          <cell r="C623" t="str">
            <v>RHES-SHCON</v>
          </cell>
          <cell r="H623">
            <v>1.3554782390162825</v>
          </cell>
          <cell r="I623">
            <v>1.3554889637555789</v>
          </cell>
          <cell r="J623">
            <v>1.3058112194690781</v>
          </cell>
        </row>
        <row r="624">
          <cell r="A624" t="str">
            <v>RHES-SHCONBR3</v>
          </cell>
          <cell r="B624" t="str">
            <v>VAR_fin</v>
          </cell>
          <cell r="C624" t="str">
            <v>CON</v>
          </cell>
          <cell r="H624">
            <v>1.3554782390162825</v>
          </cell>
          <cell r="I624">
            <v>1.3554889637555789</v>
          </cell>
          <cell r="J624">
            <v>1.3058112194690781</v>
          </cell>
        </row>
        <row r="625">
          <cell r="A625" t="str">
            <v>RHES-SHCONBR3</v>
          </cell>
          <cell r="B625" t="str">
            <v>VAR_ncap</v>
          </cell>
          <cell r="C625" t="str">
            <v>-</v>
          </cell>
          <cell r="I625">
            <v>1.00629588059959E-8</v>
          </cell>
          <cell r="J625">
            <v>4.6381106093366799E-2</v>
          </cell>
        </row>
        <row r="626">
          <cell r="A626" t="str">
            <v>RHES-SHCONBR3</v>
          </cell>
          <cell r="B626" t="str">
            <v>VAR_cap</v>
          </cell>
          <cell r="C626" t="str">
            <v>-</v>
          </cell>
          <cell r="H626">
            <v>0.10950793156270747</v>
          </cell>
          <cell r="I626">
            <v>0.10950795194771</v>
          </cell>
          <cell r="J626">
            <v>0.1054938539207</v>
          </cell>
        </row>
        <row r="627">
          <cell r="A627" t="str">
            <v>ITOT-SWHCONBR5</v>
          </cell>
          <cell r="B627" t="str">
            <v>VAR_fout</v>
          </cell>
          <cell r="C627" t="str">
            <v>ITOT-ELS</v>
          </cell>
          <cell r="H627">
            <v>2.9489367168053982E-5</v>
          </cell>
          <cell r="I627">
            <v>2.9685877450501714E-5</v>
          </cell>
          <cell r="J627">
            <v>3.7253177038799525E-5</v>
          </cell>
        </row>
        <row r="628">
          <cell r="A628" t="str">
            <v>ITOT-SWHCONBR5</v>
          </cell>
          <cell r="B628" t="str">
            <v>VAR_fout</v>
          </cell>
          <cell r="C628" t="str">
            <v>ITOT-SWHC</v>
          </cell>
          <cell r="H628">
            <v>1.4464170336608552E-4</v>
          </cell>
          <cell r="I628">
            <v>1.4560556202809782E-4</v>
          </cell>
          <cell r="J628">
            <v>1.8272223177876644E-4</v>
          </cell>
        </row>
        <row r="629">
          <cell r="A629" t="str">
            <v>ITOT-SWHCONBR5</v>
          </cell>
          <cell r="B629" t="str">
            <v>VAR_fin</v>
          </cell>
          <cell r="C629" t="str">
            <v>CON</v>
          </cell>
          <cell r="H629">
            <v>1.7413107053413954E-4</v>
          </cell>
          <cell r="I629">
            <v>1.7529143947859951E-4</v>
          </cell>
          <cell r="J629">
            <v>2.1997540881756617E-4</v>
          </cell>
        </row>
        <row r="630">
          <cell r="A630" t="str">
            <v>ITOT-SWHCONBR5</v>
          </cell>
          <cell r="B630" t="str">
            <v>VAR_ncap</v>
          </cell>
          <cell r="C630" t="str">
            <v>-</v>
          </cell>
          <cell r="H630">
            <v>9.4493327110198206E-6</v>
          </cell>
          <cell r="I630">
            <v>5.8900878872890997E-8</v>
          </cell>
          <cell r="J630">
            <v>7.9156314922199401E-6</v>
          </cell>
        </row>
        <row r="631">
          <cell r="A631" t="str">
            <v>ITOT-SWHCONBR5</v>
          </cell>
          <cell r="B631" t="str">
            <v>VAR_cap</v>
          </cell>
          <cell r="C631" t="str">
            <v>-</v>
          </cell>
          <cell r="H631">
            <v>9.4493327110198206E-6</v>
          </cell>
          <cell r="I631">
            <v>9.5082335898927097E-6</v>
          </cell>
          <cell r="J631">
            <v>1.19553950301292E-5</v>
          </cell>
        </row>
        <row r="632">
          <cell r="A632" t="str">
            <v>RHES-SHSTG-ELC</v>
          </cell>
          <cell r="B632" t="str">
            <v>VAR_fout</v>
          </cell>
          <cell r="C632" t="str">
            <v>RHES-SHAELCB</v>
          </cell>
          <cell r="H632">
            <v>1.9759675211305653E-3</v>
          </cell>
          <cell r="I632">
            <v>1.9542636540075984E-4</v>
          </cell>
          <cell r="J632">
            <v>1.1518847015397457E-4</v>
          </cell>
        </row>
        <row r="633">
          <cell r="A633" t="str">
            <v>RHES-SHSTG-ELC</v>
          </cell>
          <cell r="B633" t="str">
            <v>VAR_fout</v>
          </cell>
          <cell r="C633" t="str">
            <v>AUX_RHES-SHSTG-ELC_OUT</v>
          </cell>
          <cell r="H633">
            <v>1.9779434886516966E-3</v>
          </cell>
          <cell r="I633">
            <v>1.9562179176616052E-4</v>
          </cell>
          <cell r="J633">
            <v>1.1530365862412852E-4</v>
          </cell>
        </row>
        <row r="634">
          <cell r="A634" t="str">
            <v>RHES-SHSTG-ELC</v>
          </cell>
          <cell r="B634" t="str">
            <v>VAR_fin</v>
          </cell>
          <cell r="C634" t="str">
            <v>RHES-SHAELCB</v>
          </cell>
          <cell r="H634">
            <v>1.9759759802619246E-3</v>
          </cell>
          <cell r="I634">
            <v>1.9542850951522573E-4</v>
          </cell>
          <cell r="J634">
            <v>1.1522569052762364E-4</v>
          </cell>
        </row>
        <row r="635">
          <cell r="A635" t="str">
            <v>RHES-SHSTG-ELC</v>
          </cell>
          <cell r="B635" t="str">
            <v>VAR_ncap</v>
          </cell>
          <cell r="C635" t="str">
            <v>-</v>
          </cell>
          <cell r="H635">
            <v>4.5332217913022002E-6</v>
          </cell>
          <cell r="I635">
            <v>2.8085480553796202E-5</v>
          </cell>
          <cell r="J635">
            <v>1.29985473106434E-6</v>
          </cell>
        </row>
        <row r="636">
          <cell r="A636" t="str">
            <v>RHES-SHSTG-ELC</v>
          </cell>
          <cell r="B636" t="str">
            <v>VAR_cap</v>
          </cell>
          <cell r="C636" t="str">
            <v>-</v>
          </cell>
          <cell r="H636">
            <v>3.1996140529860079E-4</v>
          </cell>
          <cell r="I636">
            <v>3.2111869744476165E-5</v>
          </cell>
          <cell r="J636">
            <v>1.875082761058755E-5</v>
          </cell>
        </row>
        <row r="637">
          <cell r="A637" t="str">
            <v>RHES-SHCONBR4</v>
          </cell>
          <cell r="B637" t="str">
            <v>VAR_fout</v>
          </cell>
          <cell r="C637" t="str">
            <v>RHES-SHCON</v>
          </cell>
          <cell r="H637">
            <v>0.42665622701565914</v>
          </cell>
          <cell r="I637">
            <v>0.42666686068433801</v>
          </cell>
          <cell r="J637">
            <v>0.24665996933400752</v>
          </cell>
        </row>
        <row r="638">
          <cell r="A638" t="str">
            <v>RHES-SHCONBR4</v>
          </cell>
          <cell r="B638" t="str">
            <v>VAR_fin</v>
          </cell>
          <cell r="C638" t="str">
            <v>CON</v>
          </cell>
          <cell r="H638">
            <v>0.42665622701565914</v>
          </cell>
          <cell r="I638">
            <v>0.42666686068433801</v>
          </cell>
          <cell r="J638">
            <v>0.24665996933400752</v>
          </cell>
        </row>
        <row r="639">
          <cell r="A639" t="str">
            <v>RHES-SHCONBR4</v>
          </cell>
          <cell r="B639" t="str">
            <v>VAR_ncap</v>
          </cell>
          <cell r="C639" t="str">
            <v>-</v>
          </cell>
        </row>
        <row r="640">
          <cell r="A640" t="str">
            <v>RHES-SHCONBR4</v>
          </cell>
          <cell r="B640" t="str">
            <v>VAR_cap</v>
          </cell>
          <cell r="C640" t="str">
            <v>-</v>
          </cell>
          <cell r="H640">
            <v>3.44705502602628E-2</v>
          </cell>
          <cell r="I640">
            <v>3.44705502602628E-2</v>
          </cell>
          <cell r="J640">
            <v>1.9927460781947199E-2</v>
          </cell>
        </row>
        <row r="641">
          <cell r="A641" t="str">
            <v>ITOT-SWHCONBR6</v>
          </cell>
          <cell r="B641" t="str">
            <v>VAR_fout</v>
          </cell>
          <cell r="C641" t="str">
            <v>ITOT-SWHC</v>
          </cell>
          <cell r="I641">
            <v>4.3893635432862295E-5</v>
          </cell>
          <cell r="J641">
            <v>6.0532964084074972E-5</v>
          </cell>
        </row>
        <row r="642">
          <cell r="A642" t="str">
            <v>ITOT-SWHCONBR6</v>
          </cell>
          <cell r="B642" t="str">
            <v>VAR_fin</v>
          </cell>
          <cell r="C642" t="str">
            <v>CON</v>
          </cell>
          <cell r="I642">
            <v>4.3893635432862295E-5</v>
          </cell>
          <cell r="J642">
            <v>6.0532964084074972E-5</v>
          </cell>
        </row>
        <row r="643">
          <cell r="A643" t="str">
            <v>ITOT-SWHCONBR6</v>
          </cell>
          <cell r="B643" t="str">
            <v>VAR_ncap</v>
          </cell>
          <cell r="C643" t="str">
            <v>-</v>
          </cell>
          <cell r="I643">
            <v>2.3604678603627999E-6</v>
          </cell>
          <cell r="J643">
            <v>1.5650870348727099E-6</v>
          </cell>
        </row>
        <row r="644">
          <cell r="A644" t="str">
            <v>ITOT-SWHCONBR6</v>
          </cell>
          <cell r="B644" t="str">
            <v>VAR_cap</v>
          </cell>
          <cell r="C644" t="str">
            <v>-</v>
          </cell>
          <cell r="I644">
            <v>2.3604678603627999E-6</v>
          </cell>
          <cell r="J644">
            <v>3.2781576931692202E-6</v>
          </cell>
        </row>
        <row r="645">
          <cell r="A645" t="str">
            <v>RHNM-SHNGAHP</v>
          </cell>
          <cell r="B645" t="str">
            <v>VAR_fout</v>
          </cell>
          <cell r="C645" t="str">
            <v>CO2_R</v>
          </cell>
          <cell r="H645">
            <v>29.644672785170801</v>
          </cell>
          <cell r="I645">
            <v>35.441599358343097</v>
          </cell>
          <cell r="J645">
            <v>36.649280521743002</v>
          </cell>
        </row>
        <row r="646">
          <cell r="A646" t="str">
            <v>RHNM-SHNGAHP</v>
          </cell>
          <cell r="B646" t="str">
            <v>VAR_fout</v>
          </cell>
          <cell r="C646" t="str">
            <v>RHNM-SHANGAH</v>
          </cell>
          <cell r="H646">
            <v>1.0741503753257144</v>
          </cell>
          <cell r="I646">
            <v>1.3007020251003094</v>
          </cell>
          <cell r="J646">
            <v>1.3763931512477745</v>
          </cell>
        </row>
        <row r="647">
          <cell r="A647" t="str">
            <v>RHNM-SHNGAHP</v>
          </cell>
          <cell r="B647" t="str">
            <v>VAR_fin</v>
          </cell>
          <cell r="C647" t="str">
            <v>RNGA</v>
          </cell>
          <cell r="H647">
            <v>0.52561476569451704</v>
          </cell>
          <cell r="I647">
            <v>0.62839715174367294</v>
          </cell>
          <cell r="J647">
            <v>0.64980993832877698</v>
          </cell>
        </row>
        <row r="648">
          <cell r="A648" t="str">
            <v>RHNM-SHNGAHP</v>
          </cell>
          <cell r="B648" t="str">
            <v>VAR_fin</v>
          </cell>
          <cell r="C648" t="str">
            <v>RHNMELCHPC</v>
          </cell>
          <cell r="H648">
            <v>1.0741503753257144</v>
          </cell>
          <cell r="I648">
            <v>1.3007020251003094</v>
          </cell>
          <cell r="J648">
            <v>1.3763931512477745</v>
          </cell>
        </row>
        <row r="649">
          <cell r="A649" t="str">
            <v>RHNM-SHNGAHP</v>
          </cell>
          <cell r="B649" t="str">
            <v>VAR_ncap</v>
          </cell>
          <cell r="C649" t="str">
            <v>-</v>
          </cell>
          <cell r="H649">
            <v>3.7459926863647797E-2</v>
          </cell>
          <cell r="I649">
            <v>4.2664519707948101E-2</v>
          </cell>
          <cell r="J649">
            <v>6.0350243028205797E-2</v>
          </cell>
        </row>
        <row r="650">
          <cell r="A650" t="str">
            <v>RHNM-SHNGAHP</v>
          </cell>
          <cell r="B650" t="str">
            <v>VAR_cap</v>
          </cell>
          <cell r="C650" t="str">
            <v>-</v>
          </cell>
          <cell r="H650">
            <v>8.3377860754641236E-2</v>
          </cell>
          <cell r="I650">
            <v>0.10096220737200795</v>
          </cell>
          <cell r="J650">
            <v>0.10715865442156301</v>
          </cell>
        </row>
        <row r="651">
          <cell r="A651" t="str">
            <v>D-SCOM_KEV_WOD_ELC_CHP</v>
          </cell>
          <cell r="B651" t="str">
            <v>VAR_fout</v>
          </cell>
          <cell r="C651" t="str">
            <v>ELC5</v>
          </cell>
          <cell r="H651">
            <v>4.5329259000613626E-5</v>
          </cell>
          <cell r="I651">
            <v>5.5421527515756137E-5</v>
          </cell>
          <cell r="J651">
            <v>1.7962172672452754E-5</v>
          </cell>
        </row>
        <row r="652">
          <cell r="A652" t="str">
            <v>D-SCOM_KEV_WOD_ELC_CHP</v>
          </cell>
          <cell r="B652" t="str">
            <v>VAR_fout</v>
          </cell>
          <cell r="C652" t="str">
            <v>SCOM_ELC</v>
          </cell>
          <cell r="H652">
            <v>6.7951228765601704E-5</v>
          </cell>
          <cell r="I652">
            <v>1.1923378547408912E-4</v>
          </cell>
          <cell r="J652">
            <v>2.4826422839818842E-5</v>
          </cell>
        </row>
        <row r="653">
          <cell r="A653" t="str">
            <v>D-SCOM_KEV_WOD_ELC_CHP</v>
          </cell>
          <cell r="B653" t="str">
            <v>VAR_fin</v>
          </cell>
          <cell r="C653" t="str">
            <v>SCOM_KEV_WOD_ELC_CHP</v>
          </cell>
          <cell r="H653">
            <v>1.1314459326948921E-4</v>
          </cell>
          <cell r="I653">
            <v>1.7453004495780923E-4</v>
          </cell>
          <cell r="J653">
            <v>4.2674793203504241E-5</v>
          </cell>
        </row>
        <row r="654">
          <cell r="A654" t="str">
            <v>RHES-SHCONBR5</v>
          </cell>
          <cell r="B654" t="str">
            <v>VAR_fout</v>
          </cell>
          <cell r="C654" t="str">
            <v>RHES-SHCON</v>
          </cell>
          <cell r="H654">
            <v>7.5513813545772341E-5</v>
          </cell>
          <cell r="I654">
            <v>7.9756717902045401E-5</v>
          </cell>
          <cell r="J654">
            <v>4.8081409551671591E-5</v>
          </cell>
        </row>
        <row r="655">
          <cell r="A655" t="str">
            <v>RHES-SHCONBR5</v>
          </cell>
          <cell r="B655" t="str">
            <v>VAR_fin</v>
          </cell>
          <cell r="C655" t="str">
            <v>CON</v>
          </cell>
          <cell r="H655">
            <v>7.5513813545772341E-5</v>
          </cell>
          <cell r="I655">
            <v>7.9756717902045401E-5</v>
          </cell>
          <cell r="J655">
            <v>4.8081409551671591E-5</v>
          </cell>
        </row>
        <row r="656">
          <cell r="A656" t="str">
            <v>RHES-SHCONBR5</v>
          </cell>
          <cell r="B656" t="str">
            <v>VAR_ncap</v>
          </cell>
          <cell r="C656" t="str">
            <v>-</v>
          </cell>
        </row>
        <row r="657">
          <cell r="A657" t="str">
            <v>RHES-SHCONBR5</v>
          </cell>
          <cell r="B657" t="str">
            <v>VAR_cap</v>
          </cell>
          <cell r="C657" t="str">
            <v>-</v>
          </cell>
          <cell r="H657">
            <v>7.1524090011681804E-6</v>
          </cell>
          <cell r="I657">
            <v>7.1524090011681804E-6</v>
          </cell>
          <cell r="J657">
            <v>4.1348150462086102E-6</v>
          </cell>
        </row>
        <row r="658">
          <cell r="A658" t="str">
            <v>RHNS-SHCONBR</v>
          </cell>
          <cell r="B658" t="str">
            <v>VAR_fout</v>
          </cell>
          <cell r="C658" t="str">
            <v>RHNS-SHCON</v>
          </cell>
          <cell r="H658">
            <v>1.7414683767602649E-4</v>
          </cell>
          <cell r="I658">
            <v>1.3005540054971735E-3</v>
          </cell>
          <cell r="J658">
            <v>1.5301821942205842E-3</v>
          </cell>
        </row>
        <row r="659">
          <cell r="A659" t="str">
            <v>RHNS-SHCONBR</v>
          </cell>
          <cell r="B659" t="str">
            <v>VAR_fin</v>
          </cell>
          <cell r="C659" t="str">
            <v>CON</v>
          </cell>
          <cell r="H659">
            <v>1.7414683767602649E-4</v>
          </cell>
          <cell r="I659">
            <v>1.3005540054971735E-3</v>
          </cell>
          <cell r="J659">
            <v>1.5301821942205842E-3</v>
          </cell>
        </row>
        <row r="660">
          <cell r="A660" t="str">
            <v>RHNS-SHCONBR</v>
          </cell>
          <cell r="B660" t="str">
            <v>VAR_ncap</v>
          </cell>
          <cell r="C660" t="str">
            <v>-</v>
          </cell>
          <cell r="H660">
            <v>3.6440704912536501E-6</v>
          </cell>
          <cell r="I660">
            <v>8.1881569783126006E-5</v>
          </cell>
          <cell r="J660">
            <v>1.6592971156013598E-5</v>
          </cell>
        </row>
        <row r="661">
          <cell r="A661" t="str">
            <v>RHNS-SHCONBR</v>
          </cell>
          <cell r="B661" t="str">
            <v>VAR_cap</v>
          </cell>
          <cell r="C661" t="str">
            <v>-</v>
          </cell>
          <cell r="H661">
            <v>1.30823312112118E-5</v>
          </cell>
          <cell r="I661">
            <v>9.4963900994337805E-5</v>
          </cell>
          <cell r="J661">
            <v>1.11556872150351E-4</v>
          </cell>
        </row>
        <row r="662">
          <cell r="A662" t="str">
            <v>D-RHEM_SOLELC</v>
          </cell>
          <cell r="B662" t="str">
            <v>VAR_fout</v>
          </cell>
          <cell r="C662" t="str">
            <v>ELC5</v>
          </cell>
          <cell r="H662">
            <v>1.0378037176184883E-4</v>
          </cell>
          <cell r="I662">
            <v>7.8769490992598091E-5</v>
          </cell>
          <cell r="J662">
            <v>4.6066860859772616E-5</v>
          </cell>
        </row>
        <row r="663">
          <cell r="A663" t="str">
            <v>D-RHEM_SOLELC</v>
          </cell>
          <cell r="B663" t="str">
            <v>VAR_fout</v>
          </cell>
          <cell r="C663" t="str">
            <v>RHEM_ELC</v>
          </cell>
          <cell r="H663">
            <v>1.7186349201066464</v>
          </cell>
          <cell r="I663">
            <v>1.8063532032400103</v>
          </cell>
          <cell r="J663">
            <v>1.9953751288828492</v>
          </cell>
        </row>
        <row r="664">
          <cell r="A664" t="str">
            <v>D-RHEM_SOLELC</v>
          </cell>
          <cell r="B664" t="str">
            <v>VAR_fin</v>
          </cell>
          <cell r="C664" t="str">
            <v>RHEM_SOL_ELC</v>
          </cell>
          <cell r="H664">
            <v>1.7187387004784083</v>
          </cell>
          <cell r="I664">
            <v>1.8064319727310034</v>
          </cell>
          <cell r="J664">
            <v>1.9954211957437109</v>
          </cell>
        </row>
        <row r="665">
          <cell r="A665" t="str">
            <v>ITOT-SWHCONBR7</v>
          </cell>
          <cell r="B665" t="str">
            <v>VAR_fout</v>
          </cell>
          <cell r="C665" t="str">
            <v>ITOT-ELS</v>
          </cell>
          <cell r="J665">
            <v>0.40447184372027112</v>
          </cell>
        </row>
        <row r="666">
          <cell r="A666" t="str">
            <v>ITOT-SWHCONBR7</v>
          </cell>
          <cell r="B666" t="str">
            <v>VAR_fout</v>
          </cell>
          <cell r="C666" t="str">
            <v>ITOT-SWHC</v>
          </cell>
          <cell r="J666">
            <v>7.0530850056504807E-2</v>
          </cell>
        </row>
        <row r="667">
          <cell r="A667" t="str">
            <v>ITOT-SWHCONBR7</v>
          </cell>
          <cell r="B667" t="str">
            <v>VAR_fin</v>
          </cell>
          <cell r="C667" t="str">
            <v>CON</v>
          </cell>
          <cell r="J667">
            <v>0.47500269377677617</v>
          </cell>
        </row>
        <row r="668">
          <cell r="A668" t="str">
            <v>ITOT-SWHCONBR7</v>
          </cell>
          <cell r="B668" t="str">
            <v>VAR_ncap</v>
          </cell>
          <cell r="C668" t="str">
            <v>-</v>
          </cell>
          <cell r="J668">
            <v>2.5836993842455198E-2</v>
          </cell>
        </row>
        <row r="669">
          <cell r="A669" t="str">
            <v>ITOT-SWHCONBR7</v>
          </cell>
          <cell r="B669" t="str">
            <v>VAR_cap</v>
          </cell>
          <cell r="C669" t="str">
            <v>-</v>
          </cell>
          <cell r="J669">
            <v>2.5836993842455198E-2</v>
          </cell>
        </row>
        <row r="670">
          <cell r="A670" t="str">
            <v>RHNS-SHSTG-ELCHP</v>
          </cell>
          <cell r="B670" t="str">
            <v>VAR_fout</v>
          </cell>
          <cell r="C670" t="str">
            <v>RHNS-SHAELCH</v>
          </cell>
          <cell r="H670">
            <v>0.39776908446587711</v>
          </cell>
          <cell r="I670">
            <v>0.43773809164060357</v>
          </cell>
          <cell r="J670">
            <v>0.47213438408628899</v>
          </cell>
        </row>
        <row r="671">
          <cell r="A671" t="str">
            <v>RHNS-SHSTG-ELCHP</v>
          </cell>
          <cell r="B671" t="str">
            <v>VAR_fout</v>
          </cell>
          <cell r="C671" t="str">
            <v>AUX_RHNS-SHSTG-ELCHP_OUT</v>
          </cell>
          <cell r="H671">
            <v>0.39816685355034298</v>
          </cell>
          <cell r="I671">
            <v>0.43817582973224406</v>
          </cell>
          <cell r="J671">
            <v>0.47260651847037577</v>
          </cell>
        </row>
        <row r="672">
          <cell r="A672" t="str">
            <v>RHNS-SHSTG-ELCHP</v>
          </cell>
          <cell r="B672" t="str">
            <v>VAR_fin</v>
          </cell>
          <cell r="C672" t="str">
            <v>RHNS-SHAELCH</v>
          </cell>
          <cell r="H672">
            <v>0.39776912585536622</v>
          </cell>
          <cell r="I672">
            <v>0.43773817633445478</v>
          </cell>
          <cell r="J672">
            <v>0.47213447568674483</v>
          </cell>
        </row>
        <row r="673">
          <cell r="A673" t="str">
            <v>RHNS-SHSTG-ELCHP</v>
          </cell>
          <cell r="B673" t="str">
            <v>VAR_ncap</v>
          </cell>
          <cell r="C673" t="str">
            <v>-</v>
          </cell>
          <cell r="H673">
            <v>1.30339269717602E-2</v>
          </cell>
          <cell r="I673">
            <v>2.04983514240339E-2</v>
          </cell>
          <cell r="J673">
            <v>2.7964359294229E-2</v>
          </cell>
        </row>
        <row r="674">
          <cell r="A674" t="str">
            <v>RHNS-SHSTG-ELCHP</v>
          </cell>
          <cell r="B674" t="str">
            <v>VAR_cap</v>
          </cell>
          <cell r="C674" t="str">
            <v>-</v>
          </cell>
          <cell r="H674">
            <v>3.6648839424431402E-2</v>
          </cell>
          <cell r="I674">
            <v>4.2467669302580259E-2</v>
          </cell>
          <cell r="J674">
            <v>4.835015955493329E-2</v>
          </cell>
        </row>
        <row r="675">
          <cell r="A675" t="str">
            <v>RHNS-SHSOLBR</v>
          </cell>
          <cell r="B675" t="str">
            <v>VAR_fout</v>
          </cell>
          <cell r="C675" t="str">
            <v>RHNS-SHASOL</v>
          </cell>
          <cell r="H675">
            <v>5.3895488860019247E-4</v>
          </cell>
          <cell r="I675">
            <v>5.745742990419197E-4</v>
          </cell>
          <cell r="J675">
            <v>1.027716350844862E-3</v>
          </cell>
        </row>
        <row r="676">
          <cell r="A676" t="str">
            <v>RHNS-SHSOLBR</v>
          </cell>
          <cell r="B676" t="str">
            <v>VAR_fin</v>
          </cell>
          <cell r="C676" t="str">
            <v>SOL</v>
          </cell>
          <cell r="H676">
            <v>5.3895488860019247E-4</v>
          </cell>
          <cell r="I676">
            <v>5.745742990419197E-4</v>
          </cell>
          <cell r="J676">
            <v>1.027716350844862E-3</v>
          </cell>
        </row>
        <row r="677">
          <cell r="A677" t="str">
            <v>RHNS-SHSOLBR</v>
          </cell>
          <cell r="B677" t="str">
            <v>VAR_ncap</v>
          </cell>
          <cell r="C677" t="str">
            <v>-</v>
          </cell>
          <cell r="H677">
            <v>6.8637147006294096E-7</v>
          </cell>
          <cell r="I677">
            <v>8.9245978011611804E-5</v>
          </cell>
          <cell r="J677">
            <v>1.4178303911787599E-4</v>
          </cell>
        </row>
        <row r="678">
          <cell r="A678" t="str">
            <v>RHNS-SHSOLBR</v>
          </cell>
          <cell r="B678" t="str">
            <v>VAR_cap</v>
          </cell>
          <cell r="C678" t="str">
            <v>-</v>
          </cell>
          <cell r="H678">
            <v>1.2642653115816998E-4</v>
          </cell>
          <cell r="I678">
            <v>9.003088142997796E-5</v>
          </cell>
          <cell r="J678">
            <v>2.0682548519740591E-4</v>
          </cell>
        </row>
        <row r="679">
          <cell r="A679" t="str">
            <v>RHES-SHPLTBR</v>
          </cell>
          <cell r="B679" t="str">
            <v>VAR_fout</v>
          </cell>
          <cell r="C679" t="str">
            <v>RHES-SHPLT</v>
          </cell>
          <cell r="H679">
            <v>7.9089514330964672E-2</v>
          </cell>
          <cell r="I679">
            <v>8.6285335599511362E-2</v>
          </cell>
          <cell r="J679">
            <v>7.648384411054307E-2</v>
          </cell>
        </row>
        <row r="680">
          <cell r="A680" t="str">
            <v>RHES-SHPLTBR</v>
          </cell>
          <cell r="B680" t="str">
            <v>VAR_fin</v>
          </cell>
          <cell r="C680" t="str">
            <v>RPLT</v>
          </cell>
          <cell r="H680">
            <v>0.10626749557934501</v>
          </cell>
          <cell r="I680">
            <v>0.11541652370009775</v>
          </cell>
          <cell r="J680">
            <v>0.10083726304284983</v>
          </cell>
        </row>
        <row r="681">
          <cell r="A681" t="str">
            <v>RHES-SHPLTBR</v>
          </cell>
          <cell r="B681" t="str">
            <v>VAR_ncap</v>
          </cell>
          <cell r="C681" t="str">
            <v>-</v>
          </cell>
          <cell r="H681">
            <v>1.31353891548861E-3</v>
          </cell>
          <cell r="I681">
            <v>5.6589612339242703E-3</v>
          </cell>
          <cell r="J681">
            <v>1.5280117933931399E-3</v>
          </cell>
        </row>
        <row r="682">
          <cell r="A682" t="str">
            <v>RHES-SHPLTBR</v>
          </cell>
          <cell r="B682" t="str">
            <v>VAR_cap</v>
          </cell>
          <cell r="C682" t="str">
            <v>-</v>
          </cell>
          <cell r="H682">
            <v>6.3920123310572188E-3</v>
          </cell>
          <cell r="I682">
            <v>6.972507597215385E-3</v>
          </cell>
          <cell r="J682">
            <v>6.1905217115225423E-3</v>
          </cell>
        </row>
        <row r="683">
          <cell r="A683" t="str">
            <v>RHES-SHCONBR6</v>
          </cell>
          <cell r="B683" t="str">
            <v>VAR_fout</v>
          </cell>
          <cell r="C683" t="str">
            <v>RHES-SHCON</v>
          </cell>
          <cell r="H683">
            <v>2.0033187789389043E-5</v>
          </cell>
          <cell r="I683">
            <v>2.1624177950159347E-5</v>
          </cell>
          <cell r="J683">
            <v>1.3472475788613258E-5</v>
          </cell>
        </row>
        <row r="684">
          <cell r="A684" t="str">
            <v>RHES-SHCONBR6</v>
          </cell>
          <cell r="B684" t="str">
            <v>VAR_fin</v>
          </cell>
          <cell r="C684" t="str">
            <v>CON</v>
          </cell>
          <cell r="H684">
            <v>2.0033187789389043E-5</v>
          </cell>
          <cell r="I684">
            <v>2.1624177950159347E-5</v>
          </cell>
          <cell r="J684">
            <v>1.3472475788613258E-5</v>
          </cell>
        </row>
        <row r="685">
          <cell r="A685" t="str">
            <v>RHES-SHCONBR6</v>
          </cell>
          <cell r="B685" t="str">
            <v>VAR_ncap</v>
          </cell>
          <cell r="C685" t="str">
            <v>-</v>
          </cell>
        </row>
        <row r="686">
          <cell r="A686" t="str">
            <v>RHES-SHCONBR6</v>
          </cell>
          <cell r="B686" t="str">
            <v>VAR_cap</v>
          </cell>
          <cell r="C686" t="str">
            <v>-</v>
          </cell>
          <cell r="H686">
            <v>2.1732583178932999E-6</v>
          </cell>
          <cell r="I686">
            <v>2.1732583178932999E-6</v>
          </cell>
          <cell r="J686">
            <v>1.2563628828630499E-6</v>
          </cell>
        </row>
        <row r="687">
          <cell r="A687" t="str">
            <v>RHSA-WHPLTBR</v>
          </cell>
          <cell r="B687" t="str">
            <v>VAR_fout</v>
          </cell>
          <cell r="C687" t="str">
            <v>RHSA-WHPLT</v>
          </cell>
          <cell r="H687">
            <v>0.19066550329793638</v>
          </cell>
          <cell r="I687">
            <v>0.21859600612196833</v>
          </cell>
          <cell r="J687">
            <v>0.21774754124420556</v>
          </cell>
        </row>
        <row r="688">
          <cell r="A688" t="str">
            <v>RHSA-WHPLTBR</v>
          </cell>
          <cell r="B688" t="str">
            <v>VAR_fin</v>
          </cell>
          <cell r="C688" t="str">
            <v>RPLT</v>
          </cell>
          <cell r="H688">
            <v>0.40243897079167507</v>
          </cell>
          <cell r="I688">
            <v>0.45391851639226155</v>
          </cell>
          <cell r="J688">
            <v>0.43883128126302323</v>
          </cell>
        </row>
        <row r="689">
          <cell r="A689" t="str">
            <v>RHSA-WHPLTBR</v>
          </cell>
          <cell r="B689" t="str">
            <v>VAR_ncap</v>
          </cell>
          <cell r="C689" t="str">
            <v>-</v>
          </cell>
          <cell r="H689">
            <v>9.1192843239257197E-3</v>
          </cell>
          <cell r="I689">
            <v>5.8225676197483098E-3</v>
          </cell>
          <cell r="J689">
            <v>6.8008124050025903E-3</v>
          </cell>
        </row>
        <row r="690">
          <cell r="A690" t="str">
            <v>RHSA-WHPLTBR</v>
          </cell>
          <cell r="B690" t="str">
            <v>VAR_cap</v>
          </cell>
          <cell r="C690" t="str">
            <v>-</v>
          </cell>
          <cell r="H690">
            <v>1.3033203700795149E-2</v>
          </cell>
          <cell r="I690">
            <v>1.4941867210661019E-2</v>
          </cell>
          <cell r="J690">
            <v>1.4883840071456603E-2</v>
          </cell>
        </row>
        <row r="691">
          <cell r="A691" t="str">
            <v>ITOT-SWHCONBR8</v>
          </cell>
          <cell r="B691" t="str">
            <v>VAR_fout</v>
          </cell>
          <cell r="C691" t="str">
            <v>ITOT-ELS</v>
          </cell>
          <cell r="J691">
            <v>1.4406786822694896E-5</v>
          </cell>
        </row>
        <row r="692">
          <cell r="A692" t="str">
            <v>ITOT-SWHCONBR8</v>
          </cell>
          <cell r="B692" t="str">
            <v>VAR_fout</v>
          </cell>
          <cell r="C692" t="str">
            <v>ITOT-SWHC</v>
          </cell>
          <cell r="J692">
            <v>5.5985457742310344E-5</v>
          </cell>
        </row>
        <row r="693">
          <cell r="A693" t="str">
            <v>ITOT-SWHCONBR8</v>
          </cell>
          <cell r="B693" t="str">
            <v>VAR_fin</v>
          </cell>
          <cell r="C693" t="str">
            <v>CON</v>
          </cell>
          <cell r="J693">
            <v>7.0485627931720754E-5</v>
          </cell>
        </row>
        <row r="694">
          <cell r="A694" t="str">
            <v>ITOT-SWHCONBR8</v>
          </cell>
          <cell r="B694" t="str">
            <v>VAR_ncap</v>
          </cell>
          <cell r="C694" t="str">
            <v>-</v>
          </cell>
          <cell r="J694">
            <v>3.8141613172883402E-6</v>
          </cell>
        </row>
        <row r="695">
          <cell r="A695" t="str">
            <v>ITOT-SWHCONBR8</v>
          </cell>
          <cell r="B695" t="str">
            <v>VAR_cap</v>
          </cell>
          <cell r="C695" t="str">
            <v>-</v>
          </cell>
          <cell r="J695">
            <v>3.8141613172883402E-6</v>
          </cell>
        </row>
        <row r="696">
          <cell r="A696" t="str">
            <v>D-SCOM_KEV_HFC_ELC_CHP</v>
          </cell>
          <cell r="B696" t="str">
            <v>VAR_fout</v>
          </cell>
          <cell r="C696" t="str">
            <v>ELC5</v>
          </cell>
          <cell r="H696">
            <v>8.6651395705503623E-5</v>
          </cell>
          <cell r="I696">
            <v>1.2918454592832367E-4</v>
          </cell>
          <cell r="J696">
            <v>1.0076316622854121E-4</v>
          </cell>
        </row>
        <row r="697">
          <cell r="A697" t="str">
            <v>D-SCOM_KEV_HFC_ELC_CHP</v>
          </cell>
          <cell r="B697" t="str">
            <v>VAR_fout</v>
          </cell>
          <cell r="C697" t="str">
            <v>SCOM_ELC</v>
          </cell>
          <cell r="H697">
            <v>3.9095756528707089E-4</v>
          </cell>
          <cell r="I697">
            <v>1.9264233994760419E-2</v>
          </cell>
          <cell r="J697">
            <v>2.844635065190915E-2</v>
          </cell>
        </row>
        <row r="698">
          <cell r="A698" t="str">
            <v>D-SCOM_KEV_HFC_ELC_CHP</v>
          </cell>
          <cell r="B698" t="str">
            <v>VAR_fin</v>
          </cell>
          <cell r="C698" t="str">
            <v>SCOM_KEV_HFC_ELC_CHP</v>
          </cell>
          <cell r="H698">
            <v>4.7747068974089479E-4</v>
          </cell>
          <cell r="I698">
            <v>1.9393402215374809E-2</v>
          </cell>
          <cell r="J698">
            <v>2.8547010649093287E-2</v>
          </cell>
        </row>
        <row r="699">
          <cell r="A699" t="str">
            <v>D-EH2R</v>
          </cell>
          <cell r="B699" t="str">
            <v>VAR_fout</v>
          </cell>
          <cell r="C699" t="str">
            <v>EH2</v>
          </cell>
          <cell r="I699">
            <v>6.7681034256656747E-4</v>
          </cell>
          <cell r="J699">
            <v>2.3682466232450346E-3</v>
          </cell>
        </row>
        <row r="700">
          <cell r="A700" t="str">
            <v>D-EH2R</v>
          </cell>
          <cell r="B700" t="str">
            <v>VAR_fin</v>
          </cell>
          <cell r="C700" t="str">
            <v>H2</v>
          </cell>
          <cell r="I700">
            <v>6.7681034256656747E-4</v>
          </cell>
          <cell r="J700">
            <v>2.3682466232450346E-3</v>
          </cell>
        </row>
        <row r="701">
          <cell r="A701" t="str">
            <v>D-EH2R</v>
          </cell>
          <cell r="B701" t="str">
            <v>VAR_ncap</v>
          </cell>
          <cell r="C701" t="str">
            <v>-</v>
          </cell>
          <cell r="H701">
            <v>9.7974121278831206E-8</v>
          </cell>
          <cell r="I701">
            <v>8.4050036250661107E-5</v>
          </cell>
          <cell r="J701">
            <v>7.1510642392547696E-5</v>
          </cell>
        </row>
        <row r="702">
          <cell r="A702" t="str">
            <v>D-EH2R</v>
          </cell>
          <cell r="B702" t="str">
            <v>VAR_cap</v>
          </cell>
          <cell r="C702" t="str">
            <v>-</v>
          </cell>
          <cell r="H702">
            <v>9.7974121278831206E-8</v>
          </cell>
          <cell r="I702">
            <v>8.4067389615451901E-5</v>
          </cell>
          <cell r="J702">
            <v>1.00299565598031E-4</v>
          </cell>
        </row>
        <row r="703">
          <cell r="A703" t="str">
            <v>SCOM-ELCSPECADV</v>
          </cell>
          <cell r="B703" t="str">
            <v>VAR_fout</v>
          </cell>
          <cell r="C703" t="str">
            <v>SCOM-ELS</v>
          </cell>
          <cell r="H703">
            <v>9.4035546832900501</v>
          </cell>
          <cell r="I703">
            <v>11.60389391583732</v>
          </cell>
          <cell r="J703">
            <v>12.388078357412219</v>
          </cell>
        </row>
        <row r="704">
          <cell r="A704" t="str">
            <v>SCOM-ELCSPECADV</v>
          </cell>
          <cell r="B704" t="str">
            <v>VAR_fin</v>
          </cell>
          <cell r="C704" t="str">
            <v>SCOM_ELC</v>
          </cell>
          <cell r="H704">
            <v>6.2690364555266962</v>
          </cell>
          <cell r="I704">
            <v>7.7359292772248747</v>
          </cell>
          <cell r="J704">
            <v>8.2587189049414764</v>
          </cell>
        </row>
        <row r="705">
          <cell r="A705" t="str">
            <v>SCOM-ELCSPECADV</v>
          </cell>
          <cell r="B705" t="str">
            <v>VAR_ncap</v>
          </cell>
          <cell r="C705" t="str">
            <v>-</v>
          </cell>
          <cell r="H705">
            <v>0.272205869982587</v>
          </cell>
          <cell r="I705">
            <v>0.23257434924297901</v>
          </cell>
          <cell r="J705">
            <v>0.33345642670539899</v>
          </cell>
        </row>
        <row r="706">
          <cell r="A706" t="str">
            <v>SCOM-ELCSPECADV</v>
          </cell>
          <cell r="B706" t="str">
            <v>VAR_cap</v>
          </cell>
          <cell r="C706" t="str">
            <v>-</v>
          </cell>
          <cell r="H706">
            <v>0.99394922214724313</v>
          </cell>
          <cell r="I706">
            <v>1.2265235498867133</v>
          </cell>
          <cell r="J706">
            <v>1.309411297995277</v>
          </cell>
        </row>
        <row r="707">
          <cell r="A707" t="str">
            <v>RHSA-WHLTHRD</v>
          </cell>
          <cell r="B707" t="str">
            <v>VAR_fout</v>
          </cell>
          <cell r="C707" t="str">
            <v>RHSA-WHLTHRD</v>
          </cell>
          <cell r="H707">
            <v>1.5933288107810102</v>
          </cell>
          <cell r="I707">
            <v>1.8250565932884286</v>
          </cell>
          <cell r="J707">
            <v>1.9855679357886427</v>
          </cell>
        </row>
        <row r="708">
          <cell r="A708" t="str">
            <v>RHSA-WHLTHRD</v>
          </cell>
          <cell r="B708" t="str">
            <v>VAR_fin</v>
          </cell>
          <cell r="C708" t="str">
            <v>RHSA_LTH</v>
          </cell>
          <cell r="H708">
            <v>2.8141120615653219</v>
          </cell>
          <cell r="I708">
            <v>3.181413022570839</v>
          </cell>
          <cell r="J708">
            <v>3.3843528355244192</v>
          </cell>
        </row>
        <row r="709">
          <cell r="A709" t="str">
            <v>RHSA-WHLTHRD</v>
          </cell>
          <cell r="B709" t="str">
            <v>VAR_ncap</v>
          </cell>
          <cell r="C709" t="str">
            <v>-</v>
          </cell>
          <cell r="H709">
            <v>5.23478706299857E-2</v>
          </cell>
          <cell r="I709">
            <v>5.0036239365485902E-2</v>
          </cell>
          <cell r="J709">
            <v>7.6871533865415301E-2</v>
          </cell>
        </row>
        <row r="710">
          <cell r="A710" t="str">
            <v>RHSA-WHLTHRD</v>
          </cell>
          <cell r="B710" t="str">
            <v>VAR_cap</v>
          </cell>
          <cell r="C710" t="str">
            <v>-</v>
          </cell>
          <cell r="H710">
            <v>0.15228848567772679</v>
          </cell>
          <cell r="I710">
            <v>0.19654278333477565</v>
          </cell>
          <cell r="J710">
            <v>0.26602394773451576</v>
          </cell>
        </row>
        <row r="711">
          <cell r="A711" t="str">
            <v>RHES-SHCONBR7</v>
          </cell>
          <cell r="B711" t="str">
            <v>VAR_fout</v>
          </cell>
          <cell r="C711" t="str">
            <v>RHES-SHCON</v>
          </cell>
          <cell r="H711">
            <v>1.9033628002724875E-5</v>
          </cell>
          <cell r="I711">
            <v>2.054072478538261E-5</v>
          </cell>
          <cell r="J711">
            <v>1.2820824320716925E-5</v>
          </cell>
        </row>
        <row r="712">
          <cell r="A712" t="str">
            <v>RHES-SHCONBR7</v>
          </cell>
          <cell r="B712" t="str">
            <v>VAR_fin</v>
          </cell>
          <cell r="C712" t="str">
            <v>CON</v>
          </cell>
          <cell r="H712">
            <v>1.9033628002724875E-5</v>
          </cell>
          <cell r="I712">
            <v>2.054072478538261E-5</v>
          </cell>
          <cell r="J712">
            <v>1.2820824320716925E-5</v>
          </cell>
        </row>
        <row r="713">
          <cell r="A713" t="str">
            <v>RHES-SHCONBR7</v>
          </cell>
          <cell r="B713" t="str">
            <v>VAR_ncap</v>
          </cell>
          <cell r="C713" t="str">
            <v>-</v>
          </cell>
        </row>
        <row r="714">
          <cell r="A714" t="str">
            <v>RHES-SHCONBR7</v>
          </cell>
          <cell r="B714" t="str">
            <v>VAR_cap</v>
          </cell>
          <cell r="C714" t="str">
            <v>-</v>
          </cell>
          <cell r="H714">
            <v>2.0763232523321398E-6</v>
          </cell>
          <cell r="I714">
            <v>2.0763232523321398E-6</v>
          </cell>
          <cell r="J714">
            <v>1.20032462113583E-6</v>
          </cell>
        </row>
        <row r="715">
          <cell r="A715" t="str">
            <v>ITOT-SWHCONBR9</v>
          </cell>
          <cell r="B715" t="str">
            <v>VAR_fout</v>
          </cell>
          <cell r="C715" t="str">
            <v>ITOT-ELS</v>
          </cell>
          <cell r="J715">
            <v>3.668680102583461E-6</v>
          </cell>
        </row>
        <row r="716">
          <cell r="A716" t="str">
            <v>ITOT-SWHCONBR9</v>
          </cell>
          <cell r="B716" t="str">
            <v>VAR_fout</v>
          </cell>
          <cell r="C716" t="str">
            <v>ITOT-SWHC</v>
          </cell>
          <cell r="J716">
            <v>2.7573401458135285E-5</v>
          </cell>
        </row>
        <row r="717">
          <cell r="A717" t="str">
            <v>ITOT-SWHCONBR9</v>
          </cell>
          <cell r="B717" t="str">
            <v>VAR_fin</v>
          </cell>
          <cell r="C717" t="str">
            <v>CON</v>
          </cell>
          <cell r="J717">
            <v>3.2324164687331342E-5</v>
          </cell>
        </row>
        <row r="718">
          <cell r="A718" t="str">
            <v>ITOT-SWHCONBR9</v>
          </cell>
          <cell r="B718" t="str">
            <v>VAR_ncap</v>
          </cell>
          <cell r="C718" t="str">
            <v>-</v>
          </cell>
          <cell r="J718">
            <v>1.73797483570113E-6</v>
          </cell>
        </row>
        <row r="719">
          <cell r="A719" t="str">
            <v>ITOT-SWHCONBR9</v>
          </cell>
          <cell r="B719" t="str">
            <v>VAR_cap</v>
          </cell>
          <cell r="C719" t="str">
            <v>-</v>
          </cell>
          <cell r="J719">
            <v>1.73797483570113E-6</v>
          </cell>
        </row>
        <row r="720">
          <cell r="A720" t="str">
            <v>SCOM-SHPLTBR</v>
          </cell>
          <cell r="B720" t="str">
            <v>VAR_fout</v>
          </cell>
          <cell r="C720" t="str">
            <v>SCOM-SHPLT</v>
          </cell>
          <cell r="H720">
            <v>0.87579809376382556</v>
          </cell>
          <cell r="I720">
            <v>0.94920241181848708</v>
          </cell>
          <cell r="J720">
            <v>0.79557202328328691</v>
          </cell>
        </row>
        <row r="721">
          <cell r="A721" t="str">
            <v>SCOM-SHPLTBR</v>
          </cell>
          <cell r="B721" t="str">
            <v>VAR_fin</v>
          </cell>
          <cell r="C721" t="str">
            <v>SCOMPLTBRC</v>
          </cell>
          <cell r="H721">
            <v>0.87579809376382556</v>
          </cell>
          <cell r="I721">
            <v>0.94920241181848708</v>
          </cell>
          <cell r="J721">
            <v>0.79557202328328691</v>
          </cell>
        </row>
        <row r="722">
          <cell r="A722" t="str">
            <v>SCOM-SHPLTBR</v>
          </cell>
          <cell r="B722" t="str">
            <v>VAR_fin</v>
          </cell>
          <cell r="C722" t="str">
            <v>SPLT</v>
          </cell>
          <cell r="H722">
            <v>1.3074298881582929</v>
          </cell>
          <cell r="I722">
            <v>1.4166787045834823</v>
          </cell>
          <cell r="J722">
            <v>1.1873863038217309</v>
          </cell>
        </row>
        <row r="723">
          <cell r="A723" t="str">
            <v>SCOM-SHPLTBR</v>
          </cell>
          <cell r="B723" t="str">
            <v>VAR_ncap</v>
          </cell>
          <cell r="C723" t="str">
            <v>-</v>
          </cell>
          <cell r="H723">
            <v>3.9131516665396701E-2</v>
          </cell>
          <cell r="I723">
            <v>3.9657855771830897E-2</v>
          </cell>
          <cell r="J723">
            <v>2.2236547288380398E-2</v>
          </cell>
        </row>
        <row r="724">
          <cell r="A724" t="str">
            <v>SCOM-SHPLTBR</v>
          </cell>
          <cell r="B724" t="str">
            <v>VAR_cap</v>
          </cell>
          <cell r="C724" t="str">
            <v>-</v>
          </cell>
          <cell r="H724">
            <v>6.8415231604751686E-2</v>
          </cell>
          <cell r="I724">
            <v>7.8789384841478891E-2</v>
          </cell>
          <cell r="J724">
            <v>6.7569959623766898E-2</v>
          </cell>
        </row>
        <row r="725">
          <cell r="A725" t="str">
            <v>ITOT-SWHELCHP</v>
          </cell>
          <cell r="B725" t="str">
            <v>VAR_fout</v>
          </cell>
          <cell r="C725" t="str">
            <v>ITOT-SWHAELCH</v>
          </cell>
          <cell r="H725">
            <v>6.6409365835194549</v>
          </cell>
          <cell r="I725">
            <v>6.6413575336346611</v>
          </cell>
          <cell r="J725">
            <v>8.8142355628115041</v>
          </cell>
        </row>
        <row r="726">
          <cell r="A726" t="str">
            <v>ITOT-SWHELCHP</v>
          </cell>
          <cell r="B726" t="str">
            <v>VAR_fin</v>
          </cell>
          <cell r="C726" t="str">
            <v>ITOT_ELC</v>
          </cell>
          <cell r="H726">
            <v>2.0338779095692412</v>
          </cell>
          <cell r="I726">
            <v>1.9964681959051624</v>
          </cell>
          <cell r="J726">
            <v>2.555340024600167</v>
          </cell>
        </row>
        <row r="727">
          <cell r="A727" t="str">
            <v>ITOT-SWHELCHP</v>
          </cell>
          <cell r="B727" t="str">
            <v>VAR_fin</v>
          </cell>
          <cell r="C727" t="str">
            <v>ITOTELCHPC</v>
          </cell>
          <cell r="H727">
            <v>6.6409365835194549</v>
          </cell>
          <cell r="I727">
            <v>6.6413575336346611</v>
          </cell>
          <cell r="J727">
            <v>8.8142355628115041</v>
          </cell>
        </row>
        <row r="728">
          <cell r="A728" t="str">
            <v>ITOT-SWHELCHP</v>
          </cell>
          <cell r="B728" t="str">
            <v>VAR_ncap</v>
          </cell>
          <cell r="C728" t="str">
            <v>-</v>
          </cell>
          <cell r="H728">
            <v>8.8727136220665803E-2</v>
          </cell>
          <cell r="I728">
            <v>0.114707401209955</v>
          </cell>
          <cell r="J728">
            <v>0.360733823512428</v>
          </cell>
        </row>
        <row r="729">
          <cell r="A729" t="str">
            <v>ITOT-SWHELCHP</v>
          </cell>
          <cell r="B729" t="str">
            <v>VAR_cap</v>
          </cell>
          <cell r="C729" t="str">
            <v>-</v>
          </cell>
          <cell r="H729">
            <v>0.361332520928629</v>
          </cell>
          <cell r="I729">
            <v>0.36817104916412235</v>
          </cell>
          <cell r="J729">
            <v>0.48151184313165885</v>
          </cell>
        </row>
        <row r="730">
          <cell r="A730" t="str">
            <v>RHES-SHCONBR8</v>
          </cell>
          <cell r="B730" t="str">
            <v>VAR_fout</v>
          </cell>
          <cell r="C730" t="str">
            <v>RHES-SHCON</v>
          </cell>
          <cell r="H730">
            <v>3.4689592594913505E-6</v>
          </cell>
          <cell r="I730">
            <v>3.7321279372218657E-6</v>
          </cell>
          <cell r="J730">
            <v>2.1840859141716084E-6</v>
          </cell>
        </row>
        <row r="731">
          <cell r="A731" t="str">
            <v>RHES-SHCONBR8</v>
          </cell>
          <cell r="B731" t="str">
            <v>VAR_fin</v>
          </cell>
          <cell r="C731" t="str">
            <v>CON</v>
          </cell>
          <cell r="H731">
            <v>3.4689592594913505E-6</v>
          </cell>
          <cell r="I731">
            <v>3.7321279372218657E-6</v>
          </cell>
          <cell r="J731">
            <v>2.1840859141716084E-6</v>
          </cell>
        </row>
        <row r="732">
          <cell r="A732" t="str">
            <v>RHES-SHCONBR8</v>
          </cell>
          <cell r="B732" t="str">
            <v>VAR_ncap</v>
          </cell>
          <cell r="C732" t="str">
            <v>-</v>
          </cell>
        </row>
        <row r="733">
          <cell r="A733" t="str">
            <v>RHES-SHCONBR8</v>
          </cell>
          <cell r="B733" t="str">
            <v>VAR_cap</v>
          </cell>
          <cell r="C733" t="str">
            <v>-</v>
          </cell>
          <cell r="H733">
            <v>4.7296846371670397E-7</v>
          </cell>
          <cell r="I733">
            <v>4.7296846371670397E-7</v>
          </cell>
          <cell r="J733">
            <v>2.8109963241128901E-7</v>
          </cell>
        </row>
        <row r="734">
          <cell r="A734" t="str">
            <v>RHEM-SHWODBR</v>
          </cell>
          <cell r="B734" t="str">
            <v>VAR_fout</v>
          </cell>
          <cell r="C734" t="str">
            <v>RHEM-SHWOD</v>
          </cell>
          <cell r="H734">
            <v>4.2820087968921596</v>
          </cell>
          <cell r="I734">
            <v>3.7339261383097804</v>
          </cell>
          <cell r="J734">
            <v>2.3384432605870851</v>
          </cell>
        </row>
        <row r="735">
          <cell r="A735" t="str">
            <v>RHEM-SHWODBR</v>
          </cell>
          <cell r="B735" t="str">
            <v>VAR_fin</v>
          </cell>
          <cell r="C735" t="str">
            <v>RHEMWODBRC</v>
          </cell>
          <cell r="H735">
            <v>4.2820087968921596</v>
          </cell>
          <cell r="I735">
            <v>3.7339261383097804</v>
          </cell>
          <cell r="J735">
            <v>2.3384432605870851</v>
          </cell>
        </row>
        <row r="736">
          <cell r="A736" t="str">
            <v>RHEM-SHWODBR</v>
          </cell>
          <cell r="B736" t="str">
            <v>VAR_fin</v>
          </cell>
          <cell r="C736" t="str">
            <v>RWOD</v>
          </cell>
          <cell r="H736">
            <v>5.8961078519811068</v>
          </cell>
          <cell r="I736">
            <v>5.1414259678271836</v>
          </cell>
          <cell r="J736">
            <v>3.1379080890024276</v>
          </cell>
        </row>
        <row r="737">
          <cell r="A737" t="str">
            <v>RHEM-SHWODBR</v>
          </cell>
          <cell r="B737" t="str">
            <v>VAR_ncap</v>
          </cell>
          <cell r="C737" t="str">
            <v>-</v>
          </cell>
          <cell r="H737">
            <v>0.18050441783700999</v>
          </cell>
          <cell r="I737">
            <v>7.6972881791522604E-2</v>
          </cell>
          <cell r="J737">
            <v>3.3208562536001698E-2</v>
          </cell>
        </row>
        <row r="738">
          <cell r="A738" t="str">
            <v>RHEM-SHWODBR</v>
          </cell>
          <cell r="B738" t="str">
            <v>VAR_cap</v>
          </cell>
          <cell r="C738" t="str">
            <v>-</v>
          </cell>
          <cell r="H738">
            <v>0.30237454794036517</v>
          </cell>
          <cell r="I738">
            <v>0.26367203118205534</v>
          </cell>
          <cell r="J738">
            <v>0.16542274185830769</v>
          </cell>
        </row>
        <row r="739">
          <cell r="A739" t="str">
            <v>RHES-SHCONBR9</v>
          </cell>
          <cell r="B739" t="str">
            <v>VAR_fout</v>
          </cell>
          <cell r="C739" t="str">
            <v>RHES-SHCON</v>
          </cell>
          <cell r="H739">
            <v>2.1114300476658778E-7</v>
          </cell>
          <cell r="I739">
            <v>1.10143164060423E-8</v>
          </cell>
          <cell r="J739">
            <v>3.1202266402776299E-8</v>
          </cell>
        </row>
        <row r="740">
          <cell r="A740" t="str">
            <v>RHES-SHCONBR9</v>
          </cell>
          <cell r="B740" t="str">
            <v>VAR_fin</v>
          </cell>
          <cell r="C740" t="str">
            <v>CON</v>
          </cell>
          <cell r="H740">
            <v>2.1114300476658778E-7</v>
          </cell>
          <cell r="I740">
            <v>1.10143164060423E-8</v>
          </cell>
          <cell r="J740">
            <v>3.1202266402776299E-8</v>
          </cell>
        </row>
        <row r="741">
          <cell r="A741" t="str">
            <v>RHES-SHCONBR9</v>
          </cell>
          <cell r="B741" t="str">
            <v>VAR_ncap</v>
          </cell>
          <cell r="C741" t="str">
            <v>-</v>
          </cell>
        </row>
        <row r="742">
          <cell r="A742" t="str">
            <v>RHES-SHCONBR9</v>
          </cell>
          <cell r="B742" t="str">
            <v>VAR_cap</v>
          </cell>
          <cell r="C742" t="str">
            <v>-</v>
          </cell>
          <cell r="H742">
            <v>3.4474021987638403E-8</v>
          </cell>
          <cell r="I742">
            <v>3.4474021987638403E-8</v>
          </cell>
          <cell r="J742">
            <v>2.7470979074734202E-8</v>
          </cell>
        </row>
        <row r="743">
          <cell r="A743" t="str">
            <v>D-RHNS_LTH_CHPNGA</v>
          </cell>
          <cell r="B743" t="str">
            <v>VAR_fout</v>
          </cell>
          <cell r="C743" t="str">
            <v>RHSA_LTH</v>
          </cell>
          <cell r="H743">
            <v>4.7380462779295579E-3</v>
          </cell>
          <cell r="I743">
            <v>1.8070097525906695E-3</v>
          </cell>
        </row>
        <row r="744">
          <cell r="A744" t="str">
            <v>D-RHNS_LTH_CHPNGA</v>
          </cell>
          <cell r="B744" t="str">
            <v>VAR_fout</v>
          </cell>
          <cell r="C744" t="str">
            <v>LTH</v>
          </cell>
          <cell r="H744">
            <v>3.7441952091484315E-6</v>
          </cell>
          <cell r="I744">
            <v>2.0850673860454499E-6</v>
          </cell>
        </row>
        <row r="745">
          <cell r="A745" t="str">
            <v>D-RHNS_LTH_CHPNGA</v>
          </cell>
          <cell r="B745" t="str">
            <v>VAR_fout</v>
          </cell>
          <cell r="C745" t="str">
            <v>RHNS_LTH_CHPNGA_ON</v>
          </cell>
          <cell r="I745">
            <v>6.0093924196885108E-4</v>
          </cell>
        </row>
        <row r="746">
          <cell r="A746" t="str">
            <v>D-RHNS_LTH_CHPNGA</v>
          </cell>
          <cell r="B746" t="str">
            <v>VAR_fin</v>
          </cell>
          <cell r="C746" t="str">
            <v>RHNS_LTH_CHPNGA</v>
          </cell>
          <cell r="H746">
            <v>4.7422879951688063E-3</v>
          </cell>
          <cell r="I746">
            <v>2.4107655834931666E-3</v>
          </cell>
        </row>
        <row r="747">
          <cell r="A747" t="str">
            <v>D-SLFO</v>
          </cell>
          <cell r="B747" t="str">
            <v>VAR_fout</v>
          </cell>
          <cell r="C747" t="str">
            <v>CO2</v>
          </cell>
          <cell r="H747">
            <v>640.03308346721496</v>
          </cell>
          <cell r="I747">
            <v>265.02465707333499</v>
          </cell>
        </row>
        <row r="748">
          <cell r="A748" t="str">
            <v>D-SLFO</v>
          </cell>
          <cell r="B748" t="str">
            <v>VAR_fout</v>
          </cell>
          <cell r="C748" t="str">
            <v>SLFO</v>
          </cell>
          <cell r="H748">
            <v>8.539362390327554</v>
          </cell>
          <cell r="I748">
            <v>3.5359734378611307</v>
          </cell>
          <cell r="J748">
            <v>0.2451233668047757</v>
          </cell>
        </row>
        <row r="749">
          <cell r="A749" t="str">
            <v>D-SLFO</v>
          </cell>
          <cell r="B749" t="str">
            <v>VAR_fin</v>
          </cell>
          <cell r="C749" t="str">
            <v>LFO</v>
          </cell>
          <cell r="H749">
            <v>8.6843023536935586</v>
          </cell>
          <cell r="I749">
            <v>3.5959926332881293</v>
          </cell>
        </row>
        <row r="750">
          <cell r="A750" t="str">
            <v>D-SLFO</v>
          </cell>
          <cell r="B750" t="str">
            <v>VAR_fin</v>
          </cell>
          <cell r="C750" t="str">
            <v>BDS</v>
          </cell>
          <cell r="H750">
            <v>9.9681645081123579E-5</v>
          </cell>
          <cell r="I750">
            <v>3.8748532904697444E-5</v>
          </cell>
          <cell r="J750">
            <v>0.24928667726764611</v>
          </cell>
        </row>
        <row r="751">
          <cell r="A751" t="str">
            <v>D-RCOA</v>
          </cell>
          <cell r="B751" t="str">
            <v>VAR_fout</v>
          </cell>
          <cell r="C751" t="str">
            <v>CO2</v>
          </cell>
        </row>
        <row r="752">
          <cell r="A752" t="str">
            <v>D-RCOA</v>
          </cell>
          <cell r="B752" t="str">
            <v>VAR_fout</v>
          </cell>
          <cell r="C752" t="str">
            <v>RCOA</v>
          </cell>
        </row>
        <row r="753">
          <cell r="A753" t="str">
            <v>D-RCOA</v>
          </cell>
          <cell r="B753" t="str">
            <v>VAR_fin</v>
          </cell>
          <cell r="C753" t="str">
            <v>COA</v>
          </cell>
        </row>
        <row r="754">
          <cell r="A754" t="str">
            <v>SCOM-ELCSPECDC</v>
          </cell>
          <cell r="B754" t="str">
            <v>VAR_fout</v>
          </cell>
          <cell r="C754" t="str">
            <v>SCOM-ELSDC</v>
          </cell>
          <cell r="H754">
            <v>13.454623060867361</v>
          </cell>
          <cell r="I754">
            <v>13.83285839772539</v>
          </cell>
          <cell r="J754">
            <v>13.899055041808138</v>
          </cell>
        </row>
        <row r="755">
          <cell r="A755" t="str">
            <v>SCOM-ELCSPECDC</v>
          </cell>
          <cell r="B755" t="str">
            <v>VAR_fin</v>
          </cell>
          <cell r="C755" t="str">
            <v>SCOM_ELC</v>
          </cell>
          <cell r="H755">
            <v>13.454623060867361</v>
          </cell>
          <cell r="I755">
            <v>13.83285839772539</v>
          </cell>
          <cell r="J755">
            <v>13.899055041808138</v>
          </cell>
        </row>
        <row r="756">
          <cell r="A756" t="str">
            <v>D-RHEM_KEV_WOD_ELC_CHP</v>
          </cell>
          <cell r="B756" t="str">
            <v>VAR_fout</v>
          </cell>
          <cell r="C756" t="str">
            <v>ELC5</v>
          </cell>
          <cell r="H756">
            <v>1.5335498003059433E-4</v>
          </cell>
          <cell r="I756">
            <v>1.3204552830503304E-4</v>
          </cell>
          <cell r="J756">
            <v>7.4641701054306599E-5</v>
          </cell>
        </row>
        <row r="757">
          <cell r="A757" t="str">
            <v>D-RHEM_KEV_WOD_ELC_CHP</v>
          </cell>
          <cell r="B757" t="str">
            <v>VAR_fout</v>
          </cell>
          <cell r="C757" t="str">
            <v>RHEM_ELC</v>
          </cell>
          <cell r="H757">
            <v>1.3362221421295243E-3</v>
          </cell>
          <cell r="I757">
            <v>0.18676294984648775</v>
          </cell>
          <cell r="J757">
            <v>0.13506786646643162</v>
          </cell>
        </row>
        <row r="758">
          <cell r="A758" t="str">
            <v>D-RHEM_KEV_WOD_ELC_CHP</v>
          </cell>
          <cell r="B758" t="str">
            <v>VAR_fin</v>
          </cell>
          <cell r="C758" t="str">
            <v>RHEM_KEV_WOD_ELC_CHP</v>
          </cell>
          <cell r="H758">
            <v>1.4894261921707421E-3</v>
          </cell>
          <cell r="I758">
            <v>0.18689488746894445</v>
          </cell>
          <cell r="J758">
            <v>0.13514240835407978</v>
          </cell>
        </row>
        <row r="759">
          <cell r="A759" t="str">
            <v>RHES-SHSTG-SOL</v>
          </cell>
          <cell r="B759" t="str">
            <v>VAR_fout</v>
          </cell>
          <cell r="C759" t="str">
            <v>AUX_RHES-SHSTG-SOL_OUT</v>
          </cell>
          <cell r="H759">
            <v>1.1262473584048418E-2</v>
          </cell>
          <cell r="I759">
            <v>5.1183456622185299E-3</v>
          </cell>
          <cell r="J759">
            <v>5.1480809977071619E-3</v>
          </cell>
        </row>
        <row r="760">
          <cell r="A760" t="str">
            <v>RHES-SHSTG-SOL</v>
          </cell>
          <cell r="B760" t="str">
            <v>VAR_fout</v>
          </cell>
          <cell r="C760" t="str">
            <v>RHES-SHASOL</v>
          </cell>
          <cell r="H760">
            <v>1.1251222361686729E-2</v>
          </cell>
          <cell r="I760">
            <v>5.1132324297887425E-3</v>
          </cell>
          <cell r="J760">
            <v>5.1429380596475123E-3</v>
          </cell>
        </row>
        <row r="761">
          <cell r="A761" t="str">
            <v>RHES-SHSTG-SOL</v>
          </cell>
          <cell r="B761" t="str">
            <v>VAR_fin</v>
          </cell>
          <cell r="C761" t="str">
            <v>RHES-SHASOL</v>
          </cell>
          <cell r="H761">
            <v>1.1251441595533073E-2</v>
          </cell>
          <cell r="I761">
            <v>5.1133124206010384E-3</v>
          </cell>
          <cell r="J761">
            <v>5.1430231700970658E-3</v>
          </cell>
        </row>
        <row r="762">
          <cell r="A762" t="str">
            <v>RHES-SHSTG-SOL</v>
          </cell>
          <cell r="B762" t="str">
            <v>VAR_ncap</v>
          </cell>
          <cell r="C762" t="str">
            <v>-</v>
          </cell>
          <cell r="H762">
            <v>1.4264336111199E-5</v>
          </cell>
          <cell r="I762">
            <v>7.0647769389496195E-4</v>
          </cell>
          <cell r="J762">
            <v>1.9839862613462399E-4</v>
          </cell>
        </row>
        <row r="763">
          <cell r="A763" t="str">
            <v>RHES-SHSTG-SOL</v>
          </cell>
          <cell r="B763" t="str">
            <v>VAR_cap</v>
          </cell>
          <cell r="C763" t="str">
            <v>-</v>
          </cell>
          <cell r="H763">
            <v>3.2680448405355798E-3</v>
          </cell>
          <cell r="I763">
            <v>7.2075376975263899E-4</v>
          </cell>
          <cell r="J763">
            <v>7.1714691034461804E-4</v>
          </cell>
        </row>
        <row r="764">
          <cell r="A764" t="str">
            <v>D-ITOT_LTH</v>
          </cell>
          <cell r="B764" t="str">
            <v>VAR_fout</v>
          </cell>
          <cell r="C764" t="str">
            <v>ITOT_LTH_DH</v>
          </cell>
          <cell r="H764">
            <v>7.6289061057136474</v>
          </cell>
          <cell r="I764">
            <v>7.6289062818053699</v>
          </cell>
          <cell r="J764">
            <v>9.4088933972660147</v>
          </cell>
        </row>
        <row r="765">
          <cell r="A765" t="str">
            <v>D-ITOT_LTH</v>
          </cell>
          <cell r="B765" t="str">
            <v>VAR_fin</v>
          </cell>
          <cell r="C765" t="str">
            <v>LTH</v>
          </cell>
          <cell r="H765">
            <v>8.2772611263034683</v>
          </cell>
          <cell r="I765">
            <v>8.2718357396748807</v>
          </cell>
          <cell r="J765">
            <v>10.188475378308503</v>
          </cell>
        </row>
        <row r="766">
          <cell r="A766" t="str">
            <v>D-ITOT_LTH</v>
          </cell>
          <cell r="B766" t="str">
            <v>VAR_ncap</v>
          </cell>
          <cell r="C766" t="str">
            <v>-</v>
          </cell>
        </row>
        <row r="767">
          <cell r="A767" t="str">
            <v>D-ITOT_LTH</v>
          </cell>
          <cell r="B767" t="str">
            <v>VAR_cap</v>
          </cell>
          <cell r="C767" t="str">
            <v>-</v>
          </cell>
          <cell r="H767">
            <v>0.79547229595898294</v>
          </cell>
          <cell r="I767">
            <v>0.79547229595898294</v>
          </cell>
          <cell r="J767">
            <v>0.79547229595898294</v>
          </cell>
        </row>
        <row r="768">
          <cell r="A768" t="str">
            <v>D-IH2</v>
          </cell>
          <cell r="B768" t="str">
            <v>VAR_fout</v>
          </cell>
          <cell r="C768" t="str">
            <v>IH2</v>
          </cell>
          <cell r="H768">
            <v>1.5880873080001272</v>
          </cell>
          <cell r="I768">
            <v>1.4411474883634057</v>
          </cell>
          <cell r="J768">
            <v>4.6672432355017301</v>
          </cell>
        </row>
        <row r="769">
          <cell r="A769" t="str">
            <v>D-IH2</v>
          </cell>
          <cell r="B769" t="str">
            <v>VAR_fin</v>
          </cell>
          <cell r="C769" t="str">
            <v>H2</v>
          </cell>
          <cell r="H769">
            <v>1.600185973319495</v>
          </cell>
          <cell r="I769">
            <v>1.4521267091214334</v>
          </cell>
          <cell r="J769">
            <v>4.7028001054458191</v>
          </cell>
        </row>
        <row r="770">
          <cell r="A770" t="str">
            <v>D-IH2</v>
          </cell>
          <cell r="B770" t="str">
            <v>VAR_ncap</v>
          </cell>
          <cell r="C770" t="str">
            <v>-</v>
          </cell>
          <cell r="H770">
            <v>6.6457225402680495E-2</v>
          </cell>
          <cell r="I770">
            <v>1.87993480498727E-2</v>
          </cell>
          <cell r="J770">
            <v>0.108909535421989</v>
          </cell>
        </row>
        <row r="771">
          <cell r="A771" t="str">
            <v>D-IH2</v>
          </cell>
          <cell r="B771" t="str">
            <v>VAR_cap</v>
          </cell>
          <cell r="C771" t="str">
            <v>-</v>
          </cell>
          <cell r="H771">
            <v>6.6478747817454206E-2</v>
          </cell>
          <cell r="I771">
            <v>8.5278095867326903E-2</v>
          </cell>
          <cell r="J771">
            <v>0.19418763128931599</v>
          </cell>
        </row>
        <row r="772">
          <cell r="A772" t="str">
            <v>D-RHNM_LTH_CHPWOD</v>
          </cell>
          <cell r="B772" t="str">
            <v>VAR_fout</v>
          </cell>
          <cell r="C772" t="str">
            <v>RHNM_LTH_CHPWOD_ON</v>
          </cell>
          <cell r="I772">
            <v>0.13724313029796995</v>
          </cell>
        </row>
        <row r="773">
          <cell r="A773" t="str">
            <v>D-RHNM_LTH_CHPWOD</v>
          </cell>
          <cell r="B773" t="str">
            <v>VAR_fout</v>
          </cell>
          <cell r="C773" t="str">
            <v>RHSA_LTH</v>
          </cell>
          <cell r="H773">
            <v>3.9073747921004529E-3</v>
          </cell>
          <cell r="I773">
            <v>0.32045257871885108</v>
          </cell>
          <cell r="J773">
            <v>0.33123024102041354</v>
          </cell>
        </row>
        <row r="774">
          <cell r="A774" t="str">
            <v>D-RHNM_LTH_CHPWOD</v>
          </cell>
          <cell r="B774" t="str">
            <v>VAR_fout</v>
          </cell>
          <cell r="C774" t="str">
            <v>LTH</v>
          </cell>
          <cell r="H774">
            <v>2.1755530818432034E-6</v>
          </cell>
          <cell r="I774">
            <v>9.9492229383393426E-5</v>
          </cell>
          <cell r="J774">
            <v>5.2574403964573627E-5</v>
          </cell>
        </row>
        <row r="775">
          <cell r="A775" t="str">
            <v>D-RHNM_LTH_CHPWOD</v>
          </cell>
          <cell r="B775" t="str">
            <v>VAR_fin</v>
          </cell>
          <cell r="C775" t="str">
            <v>RHNM_LTH_CHPWOD</v>
          </cell>
          <cell r="H775">
            <v>3.9109675958564462E-3</v>
          </cell>
          <cell r="I775">
            <v>0.45779523360750973</v>
          </cell>
          <cell r="J775">
            <v>0.3312830971216848</v>
          </cell>
        </row>
        <row r="776">
          <cell r="A776" t="str">
            <v>RHNS-SHWODBR</v>
          </cell>
          <cell r="B776" t="str">
            <v>VAR_fout</v>
          </cell>
          <cell r="C776" t="str">
            <v>RHNS-SHWOD</v>
          </cell>
          <cell r="H776">
            <v>0.12568193843563746</v>
          </cell>
          <cell r="I776">
            <v>0.12907232606815125</v>
          </cell>
          <cell r="J776">
            <v>0.12704623932603859</v>
          </cell>
        </row>
        <row r="777">
          <cell r="A777" t="str">
            <v>RHNS-SHWODBR</v>
          </cell>
          <cell r="B777" t="str">
            <v>VAR_fin</v>
          </cell>
          <cell r="C777" t="str">
            <v>RHNSWODBRC</v>
          </cell>
          <cell r="H777">
            <v>0.12568193843563746</v>
          </cell>
          <cell r="I777">
            <v>0.12907232606815125</v>
          </cell>
          <cell r="J777">
            <v>0.12704623932603859</v>
          </cell>
        </row>
        <row r="778">
          <cell r="A778" t="str">
            <v>RHNS-SHWODBR</v>
          </cell>
          <cell r="B778" t="str">
            <v>VAR_fin</v>
          </cell>
          <cell r="C778" t="str">
            <v>RWOD</v>
          </cell>
          <cell r="H778">
            <v>0.16531297398524228</v>
          </cell>
          <cell r="I778">
            <v>0.16951617762333476</v>
          </cell>
          <cell r="J778">
            <v>0.16685523169852867</v>
          </cell>
        </row>
        <row r="779">
          <cell r="A779" t="str">
            <v>RHNS-SHWODBR</v>
          </cell>
          <cell r="B779" t="str">
            <v>VAR_ncap</v>
          </cell>
          <cell r="C779" t="str">
            <v>-</v>
          </cell>
          <cell r="H779">
            <v>2.1880847753625001E-2</v>
          </cell>
        </row>
        <row r="780">
          <cell r="A780" t="str">
            <v>RHNS-SHWODBR</v>
          </cell>
          <cell r="B780" t="str">
            <v>VAR_cap</v>
          </cell>
          <cell r="C780" t="str">
            <v>-</v>
          </cell>
          <cell r="H780">
            <v>2.1888934147697072E-2</v>
          </cell>
          <cell r="I780">
            <v>2.188138434225257E-2</v>
          </cell>
          <cell r="J780">
            <v>9.2554815666423401E-3</v>
          </cell>
        </row>
        <row r="781">
          <cell r="A781" t="str">
            <v>D-RHNM_NKEV_GAS_ELC_CHP</v>
          </cell>
          <cell r="B781" t="str">
            <v>VAR_fout</v>
          </cell>
          <cell r="C781" t="str">
            <v>ELC5</v>
          </cell>
          <cell r="H781">
            <v>1.7022249176116552E-4</v>
          </cell>
          <cell r="I781">
            <v>1.2707856291398447E-4</v>
          </cell>
        </row>
        <row r="782">
          <cell r="A782" t="str">
            <v>D-RHNM_NKEV_GAS_ELC_CHP</v>
          </cell>
          <cell r="B782" t="str">
            <v>VAR_fout</v>
          </cell>
          <cell r="C782" t="str">
            <v>RHNM_ELC</v>
          </cell>
          <cell r="H782">
            <v>9.0595766667210614E-2</v>
          </cell>
          <cell r="I782">
            <v>4.6936203810600846E-2</v>
          </cell>
        </row>
        <row r="783">
          <cell r="A783" t="str">
            <v>D-RHNM_NKEV_GAS_ELC_CHP</v>
          </cell>
          <cell r="B783" t="str">
            <v>VAR_fin</v>
          </cell>
          <cell r="C783" t="str">
            <v>RHNM_NKEV_GAS_ELC_CHP</v>
          </cell>
          <cell r="H783">
            <v>9.0765825257178814E-2</v>
          </cell>
          <cell r="I783">
            <v>4.7063187527476444E-2</v>
          </cell>
        </row>
        <row r="784">
          <cell r="A784" t="str">
            <v>D-RLFO</v>
          </cell>
          <cell r="B784" t="str">
            <v>VAR_fout</v>
          </cell>
          <cell r="C784" t="str">
            <v>CO2</v>
          </cell>
          <cell r="H784">
            <v>1100.49005209293</v>
          </cell>
          <cell r="I784">
            <v>406.97928519984299</v>
          </cell>
        </row>
        <row r="785">
          <cell r="A785" t="str">
            <v>D-RLFO</v>
          </cell>
          <cell r="B785" t="str">
            <v>VAR_fout</v>
          </cell>
          <cell r="C785" t="str">
            <v>RLFO</v>
          </cell>
          <cell r="H785">
            <v>14.68273827126351</v>
          </cell>
          <cell r="I785">
            <v>5.4299195223917023</v>
          </cell>
          <cell r="J785">
            <v>0.53059529248630444</v>
          </cell>
        </row>
        <row r="786">
          <cell r="A786" t="str">
            <v>D-RLFO</v>
          </cell>
          <cell r="B786" t="str">
            <v>VAR_fin</v>
          </cell>
          <cell r="C786" t="str">
            <v>LFO</v>
          </cell>
          <cell r="H786">
            <v>14.932022416457615</v>
          </cell>
          <cell r="I786">
            <v>5.5221069904998954</v>
          </cell>
        </row>
        <row r="787">
          <cell r="A787" t="str">
            <v>D-RLFO</v>
          </cell>
          <cell r="B787" t="str">
            <v>VAR_fin</v>
          </cell>
          <cell r="C787" t="str">
            <v>BDS</v>
          </cell>
          <cell r="H787">
            <v>9.9698551890863501E-5</v>
          </cell>
          <cell r="I787">
            <v>3.8804536423453098E-5</v>
          </cell>
          <cell r="J787">
            <v>0.53960734447036685</v>
          </cell>
        </row>
        <row r="788">
          <cell r="A788" t="str">
            <v>D-SCOM_LTH_CHPBIO</v>
          </cell>
          <cell r="B788" t="str">
            <v>VAR_fout</v>
          </cell>
          <cell r="C788" t="str">
            <v>SCOM_LTH_CHPBIO_ON</v>
          </cell>
        </row>
        <row r="789">
          <cell r="A789" t="str">
            <v>D-SCOM_LTH_CHPBIO</v>
          </cell>
          <cell r="B789" t="str">
            <v>VAR_fout</v>
          </cell>
          <cell r="C789" t="str">
            <v>LTH</v>
          </cell>
        </row>
        <row r="790">
          <cell r="A790" t="str">
            <v>D-SCOM_LTH_CHPBIO</v>
          </cell>
          <cell r="B790" t="str">
            <v>VAR_fin</v>
          </cell>
          <cell r="C790" t="str">
            <v>SCOM_LTH_CHPBIO</v>
          </cell>
        </row>
        <row r="791">
          <cell r="A791" t="str">
            <v>D-SCOM_NKEV_GAS_ELC_CHP</v>
          </cell>
          <cell r="B791" t="str">
            <v>VAR_fout</v>
          </cell>
          <cell r="C791" t="str">
            <v>ELC5</v>
          </cell>
          <cell r="H791">
            <v>1.3621827244096908E-4</v>
          </cell>
          <cell r="I791">
            <v>1.2822258727946393E-4</v>
          </cell>
        </row>
        <row r="792">
          <cell r="A792" t="str">
            <v>D-SCOM_NKEV_GAS_ELC_CHP</v>
          </cell>
          <cell r="B792" t="str">
            <v>VAR_fout</v>
          </cell>
          <cell r="C792" t="str">
            <v>SCOM_ELC</v>
          </cell>
          <cell r="H792">
            <v>0.19706570170468565</v>
          </cell>
          <cell r="I792">
            <v>0.23992724975044727</v>
          </cell>
        </row>
        <row r="793">
          <cell r="A793" t="str">
            <v>D-SCOM_NKEV_GAS_ELC_CHP</v>
          </cell>
          <cell r="B793" t="str">
            <v>VAR_fin</v>
          </cell>
          <cell r="C793" t="str">
            <v>SCOM_NKEV_GAS_ELC_CHP</v>
          </cell>
          <cell r="H793">
            <v>0.19720178170943758</v>
          </cell>
          <cell r="I793">
            <v>0.24005534025199879</v>
          </cell>
        </row>
        <row r="794">
          <cell r="A794" t="str">
            <v>RHEM-SHLTHDH</v>
          </cell>
          <cell r="B794" t="str">
            <v>VAR_fout</v>
          </cell>
          <cell r="C794" t="str">
            <v>RHEM-SHLTHD</v>
          </cell>
          <cell r="H794">
            <v>5.3614974342032866</v>
          </cell>
          <cell r="I794">
            <v>5.5997353558867067</v>
          </cell>
          <cell r="J794">
            <v>5.1599988629867894</v>
          </cell>
        </row>
        <row r="795">
          <cell r="A795" t="str">
            <v>RHEM-SHLTHDH</v>
          </cell>
          <cell r="B795" t="str">
            <v>VAR_fin</v>
          </cell>
          <cell r="C795" t="str">
            <v>RHEMLTHDHC</v>
          </cell>
          <cell r="H795">
            <v>5.3614974342032866</v>
          </cell>
          <cell r="I795">
            <v>5.5997353558867067</v>
          </cell>
          <cell r="J795">
            <v>5.1599988629867894</v>
          </cell>
        </row>
        <row r="796">
          <cell r="A796" t="str">
            <v>RHEM-SHLTHDH</v>
          </cell>
          <cell r="B796" t="str">
            <v>VAR_fin</v>
          </cell>
          <cell r="C796" t="str">
            <v>RHEM_LTH_DH</v>
          </cell>
          <cell r="H796">
            <v>6.0079338473465036</v>
          </cell>
          <cell r="I796">
            <v>6.2748961449076823</v>
          </cell>
          <cell r="J796">
            <v>5.7821405683120561</v>
          </cell>
        </row>
        <row r="797">
          <cell r="A797" t="str">
            <v>RHEM-SHLTHDH</v>
          </cell>
          <cell r="B797" t="str">
            <v>VAR_ncap</v>
          </cell>
          <cell r="C797" t="str">
            <v>-</v>
          </cell>
          <cell r="H797">
            <v>3.7138091195903101E-3</v>
          </cell>
          <cell r="I797">
            <v>2.08088305777408E-2</v>
          </cell>
          <cell r="J797">
            <v>4.66097031653876E-3</v>
          </cell>
        </row>
        <row r="798">
          <cell r="A798" t="str">
            <v>RHEM-SHLTHDH</v>
          </cell>
          <cell r="B798" t="str">
            <v>VAR_cap</v>
          </cell>
          <cell r="C798" t="str">
            <v>-</v>
          </cell>
          <cell r="H798">
            <v>0.38403301362109993</v>
          </cell>
          <cell r="I798">
            <v>0.40003593411474303</v>
          </cell>
          <cell r="J798">
            <v>0.397550707918082</v>
          </cell>
        </row>
        <row r="799">
          <cell r="A799" t="str">
            <v>D-ITOT_SOLELC</v>
          </cell>
          <cell r="B799" t="str">
            <v>VAR_fout</v>
          </cell>
          <cell r="C799" t="str">
            <v>ITOT_ELC</v>
          </cell>
          <cell r="H799">
            <v>27.721641179312808</v>
          </cell>
          <cell r="I799">
            <v>39.658472895548982</v>
          </cell>
          <cell r="J799">
            <v>48.517676087295783</v>
          </cell>
        </row>
        <row r="800">
          <cell r="A800" t="str">
            <v>D-ITOT_SOLELC</v>
          </cell>
          <cell r="B800" t="str">
            <v>VAR_fout</v>
          </cell>
          <cell r="C800" t="str">
            <v>ELC5</v>
          </cell>
          <cell r="H800">
            <v>6.1872127083615171E-3</v>
          </cell>
          <cell r="I800">
            <v>1.1891493266614075</v>
          </cell>
          <cell r="J800">
            <v>1.3263740611400896</v>
          </cell>
        </row>
        <row r="801">
          <cell r="A801" t="str">
            <v>D-ITOT_SOLELC</v>
          </cell>
          <cell r="B801" t="str">
            <v>VAR_fin</v>
          </cell>
          <cell r="C801" t="str">
            <v>ITOT_SOL_ELC</v>
          </cell>
          <cell r="H801">
            <v>27.727828392021163</v>
          </cell>
          <cell r="I801">
            <v>40.847622222210404</v>
          </cell>
          <cell r="J801">
            <v>49.844050148435848</v>
          </cell>
        </row>
        <row r="802">
          <cell r="A802" t="str">
            <v>D-SWOD</v>
          </cell>
          <cell r="B802" t="str">
            <v>VAR_fout</v>
          </cell>
          <cell r="C802" t="str">
            <v>SWOD</v>
          </cell>
          <cell r="H802">
            <v>9.0942339821941456</v>
          </cell>
          <cell r="I802">
            <v>7.6564127239838609</v>
          </cell>
          <cell r="J802">
            <v>4.9127356511882834</v>
          </cell>
        </row>
        <row r="803">
          <cell r="A803" t="str">
            <v>D-SWOD</v>
          </cell>
          <cell r="B803" t="str">
            <v>VAR_fin</v>
          </cell>
          <cell r="C803" t="str">
            <v>WOD</v>
          </cell>
          <cell r="H803">
            <v>9.0942339821941456</v>
          </cell>
          <cell r="I803">
            <v>7.6564127239838609</v>
          </cell>
          <cell r="J803">
            <v>4.9127356511882834</v>
          </cell>
        </row>
        <row r="804">
          <cell r="A804" t="str">
            <v>ITOT-PROCESSCO2CCS</v>
          </cell>
          <cell r="B804" t="str">
            <v>VAR_fout</v>
          </cell>
          <cell r="C804" t="str">
            <v>CO2_O</v>
          </cell>
          <cell r="I804">
            <v>9.1045215106178787E-3</v>
          </cell>
          <cell r="J804">
            <v>1031.8744666983953</v>
          </cell>
        </row>
        <row r="805">
          <cell r="A805" t="str">
            <v>ITOT-PROCESSCO2CCS</v>
          </cell>
          <cell r="B805" t="str">
            <v>VAR_fout</v>
          </cell>
          <cell r="C805" t="str">
            <v>CO2</v>
          </cell>
          <cell r="I805">
            <v>-9.1045215106178804E-3</v>
          </cell>
          <cell r="J805">
            <v>-1031.8744666984001</v>
          </cell>
        </row>
        <row r="806">
          <cell r="A806" t="str">
            <v>ITOT-PROCESSCO2CCS</v>
          </cell>
          <cell r="B806" t="str">
            <v>VAR_fin</v>
          </cell>
          <cell r="C806" t="str">
            <v>ITOT_ELC</v>
          </cell>
          <cell r="I806">
            <v>1.9280163198955491E-5</v>
          </cell>
          <cell r="J806">
            <v>2.1851459294789559</v>
          </cell>
        </row>
        <row r="807">
          <cell r="A807" t="str">
            <v>ITOT-PROCESSCO2CCS</v>
          </cell>
          <cell r="B807" t="str">
            <v>VAR_fin</v>
          </cell>
          <cell r="C807" t="str">
            <v>ITOT_LTH_DH</v>
          </cell>
          <cell r="I807">
            <v>7.4978412440382543E-6</v>
          </cell>
          <cell r="J807">
            <v>0.84977897257514901</v>
          </cell>
        </row>
        <row r="808">
          <cell r="A808" t="str">
            <v>ITOT-PROCESSCO2CCS</v>
          </cell>
          <cell r="B808" t="str">
            <v>VAR_ncap</v>
          </cell>
          <cell r="C808" t="str">
            <v>-</v>
          </cell>
          <cell r="I808">
            <v>2.5588811046533599E-2</v>
          </cell>
          <cell r="J808">
            <v>3154.0955416965699</v>
          </cell>
        </row>
        <row r="809">
          <cell r="A809" t="str">
            <v>ITOT-PROCESSCO2CCS</v>
          </cell>
          <cell r="B809" t="str">
            <v>VAR_cap</v>
          </cell>
          <cell r="C809" t="str">
            <v>-</v>
          </cell>
          <cell r="I809">
            <v>2.5588811046533599E-2</v>
          </cell>
          <cell r="J809">
            <v>3154.1211305076099</v>
          </cell>
        </row>
        <row r="810">
          <cell r="A810" t="str">
            <v>D-RSH2R</v>
          </cell>
          <cell r="B810" t="str">
            <v>VAR_fout</v>
          </cell>
          <cell r="C810" t="str">
            <v>RSH2</v>
          </cell>
          <cell r="H810">
            <v>2.094855507923085E-5</v>
          </cell>
          <cell r="I810">
            <v>8.7748074392443561E-6</v>
          </cell>
          <cell r="J810">
            <v>8.4580440943097085E-6</v>
          </cell>
        </row>
        <row r="811">
          <cell r="A811" t="str">
            <v>D-RSH2R</v>
          </cell>
          <cell r="B811" t="str">
            <v>VAR_fin</v>
          </cell>
          <cell r="C811" t="str">
            <v>H2</v>
          </cell>
          <cell r="H811">
            <v>2.094855507923085E-5</v>
          </cell>
          <cell r="I811">
            <v>8.7748074392443561E-6</v>
          </cell>
          <cell r="J811">
            <v>8.4580440943097085E-6</v>
          </cell>
        </row>
        <row r="812">
          <cell r="A812" t="str">
            <v>D-RSH2R</v>
          </cell>
          <cell r="B812" t="str">
            <v>VAR_ncap</v>
          </cell>
          <cell r="C812" t="str">
            <v>-</v>
          </cell>
          <cell r="H812">
            <v>5.2077780737285202E-6</v>
          </cell>
          <cell r="I812">
            <v>6.1016161421063802E-6</v>
          </cell>
          <cell r="J812">
            <v>2.14393545736337E-6</v>
          </cell>
        </row>
        <row r="813">
          <cell r="A813" t="str">
            <v>D-RSH2R</v>
          </cell>
          <cell r="B813" t="str">
            <v>VAR_cap</v>
          </cell>
          <cell r="C813" t="str">
            <v>-</v>
          </cell>
          <cell r="H813">
            <v>8.4966399104488294E-6</v>
          </cell>
          <cell r="I813">
            <v>7.0240278104420003E-6</v>
          </cell>
          <cell r="J813">
            <v>4.2338686255130498E-6</v>
          </cell>
        </row>
        <row r="814">
          <cell r="A814" t="str">
            <v>SCOM-SHLTHCHPBIO</v>
          </cell>
          <cell r="B814" t="str">
            <v>VAR_fout</v>
          </cell>
          <cell r="C814" t="str">
            <v>SCOM-SHLTHC-BIO</v>
          </cell>
        </row>
        <row r="815">
          <cell r="A815" t="str">
            <v>SCOM-SHLTHCHPBIO</v>
          </cell>
          <cell r="B815" t="str">
            <v>VAR_fin</v>
          </cell>
          <cell r="C815" t="str">
            <v>SCOM_LTH_CHPBIO_ON</v>
          </cell>
        </row>
        <row r="816">
          <cell r="A816" t="str">
            <v>SCOM-SHLTHCHPBIO</v>
          </cell>
          <cell r="B816" t="str">
            <v>VAR_fin</v>
          </cell>
          <cell r="C816" t="str">
            <v>SCOMLTHCHPC</v>
          </cell>
        </row>
        <row r="817">
          <cell r="A817" t="str">
            <v>SCOM-SHLTHCHPBIO</v>
          </cell>
          <cell r="B817" t="str">
            <v>VAR_ncap</v>
          </cell>
          <cell r="C817" t="str">
            <v>-</v>
          </cell>
          <cell r="H817">
            <v>6.6670549026515397E-2</v>
          </cell>
          <cell r="I817">
            <v>1.06547645754471E-2</v>
          </cell>
          <cell r="J817">
            <v>4.6523896820822398E-2</v>
          </cell>
        </row>
        <row r="818">
          <cell r="A818" t="str">
            <v>SCOM-SHLTHCHPBIO</v>
          </cell>
          <cell r="B818" t="str">
            <v>VAR_cap</v>
          </cell>
          <cell r="C818" t="str">
            <v>-</v>
          </cell>
          <cell r="H818">
            <v>8.9262515657167987E-2</v>
          </cell>
          <cell r="I818">
            <v>7.7078821338554079E-2</v>
          </cell>
          <cell r="J818">
            <v>7.7078878956164693E-2</v>
          </cell>
        </row>
        <row r="819">
          <cell r="A819" t="str">
            <v>D-RSH2</v>
          </cell>
          <cell r="B819" t="str">
            <v>VAR_fout</v>
          </cell>
          <cell r="C819" t="str">
            <v>RSH2</v>
          </cell>
          <cell r="H819">
            <v>2.0452905435277986E-5</v>
          </cell>
          <cell r="I819">
            <v>8.9425607299020637E-6</v>
          </cell>
          <cell r="J819">
            <v>9.4665135515168236E-6</v>
          </cell>
        </row>
        <row r="820">
          <cell r="A820" t="str">
            <v>D-RSH2</v>
          </cell>
          <cell r="B820" t="str">
            <v>VAR_fin</v>
          </cell>
          <cell r="C820" t="str">
            <v>H2</v>
          </cell>
          <cell r="H820">
            <v>2.0608723604986606E-5</v>
          </cell>
          <cell r="I820">
            <v>9.0106886274201388E-6</v>
          </cell>
          <cell r="J820">
            <v>9.5386331249332761E-6</v>
          </cell>
        </row>
        <row r="821">
          <cell r="A821" t="str">
            <v>D-RSH2</v>
          </cell>
          <cell r="B821" t="str">
            <v>VAR_ncap</v>
          </cell>
          <cell r="C821" t="str">
            <v>-</v>
          </cell>
          <cell r="H821">
            <v>2.90016495263387E-6</v>
          </cell>
          <cell r="I821">
            <v>9.7372659894852406E-8</v>
          </cell>
          <cell r="J821">
            <v>5.9826866316258201E-8</v>
          </cell>
        </row>
        <row r="822">
          <cell r="A822" t="str">
            <v>D-RSH2</v>
          </cell>
          <cell r="B822" t="str">
            <v>VAR_cap</v>
          </cell>
          <cell r="C822" t="str">
            <v>-</v>
          </cell>
          <cell r="H822">
            <v>8.4881104162416108E-6</v>
          </cell>
          <cell r="I822">
            <v>8.5854830761364708E-6</v>
          </cell>
          <cell r="J822">
            <v>8.6453099424527297E-6</v>
          </cell>
        </row>
        <row r="823">
          <cell r="A823" t="str">
            <v>RHES-SHNGABR</v>
          </cell>
          <cell r="B823" t="str">
            <v>VAR_fout</v>
          </cell>
          <cell r="C823" t="str">
            <v>CO2_R</v>
          </cell>
          <cell r="H823">
            <v>284.52653090739602</v>
          </cell>
          <cell r="I823">
            <v>132.25604026227501</v>
          </cell>
          <cell r="J823">
            <v>52.912197867178698</v>
          </cell>
        </row>
        <row r="824">
          <cell r="A824" t="str">
            <v>RHES-SHNGABR</v>
          </cell>
          <cell r="B824" t="str">
            <v>VAR_fout</v>
          </cell>
          <cell r="C824" t="str">
            <v>RHES-SHNGA</v>
          </cell>
          <cell r="H824">
            <v>4.6274292119267306</v>
          </cell>
          <cell r="I824">
            <v>2.1509609744006459</v>
          </cell>
          <cell r="J824">
            <v>0.87503960523964208</v>
          </cell>
        </row>
        <row r="825">
          <cell r="A825" t="str">
            <v>RHES-SHNGABR</v>
          </cell>
          <cell r="B825" t="str">
            <v>VAR_fin</v>
          </cell>
          <cell r="C825" t="str">
            <v>RNGA</v>
          </cell>
          <cell r="H825">
            <v>5.0447966472942518</v>
          </cell>
          <cell r="I825">
            <v>2.3449652528772114</v>
          </cell>
          <cell r="J825">
            <v>0.93815953665210461</v>
          </cell>
        </row>
        <row r="826">
          <cell r="A826" t="str">
            <v>RHES-SHNGABR</v>
          </cell>
          <cell r="B826" t="str">
            <v>VAR_ncap</v>
          </cell>
          <cell r="C826" t="str">
            <v>-</v>
          </cell>
          <cell r="H826">
            <v>1.9081508687152401E-2</v>
          </cell>
          <cell r="I826">
            <v>0.154691584469316</v>
          </cell>
        </row>
        <row r="827">
          <cell r="A827" t="str">
            <v>RHES-SHNGABR</v>
          </cell>
          <cell r="B827" t="str">
            <v>VAR_cap</v>
          </cell>
          <cell r="C827" t="str">
            <v>-</v>
          </cell>
          <cell r="H827">
            <v>0.37385656638378828</v>
          </cell>
          <cell r="I827">
            <v>0.17377310153005832</v>
          </cell>
          <cell r="J827">
            <v>0.11417553340381803</v>
          </cell>
        </row>
        <row r="828">
          <cell r="A828" t="str">
            <v>SCOM-SHLTHCHPHFC</v>
          </cell>
          <cell r="B828" t="str">
            <v>VAR_ncap</v>
          </cell>
          <cell r="C828" t="str">
            <v>-</v>
          </cell>
          <cell r="H828">
            <v>1.6544990877052399E-5</v>
          </cell>
          <cell r="I828">
            <v>7.0583923265417901E-4</v>
          </cell>
          <cell r="J828">
            <v>7.1000755829439001E-4</v>
          </cell>
        </row>
        <row r="829">
          <cell r="A829" t="str">
            <v>SCOM-SHLTHCHPHFC</v>
          </cell>
          <cell r="B829" t="str">
            <v>VAR_cap</v>
          </cell>
          <cell r="C829" t="str">
            <v>-</v>
          </cell>
          <cell r="H829">
            <v>1.9182576277579808E-5</v>
          </cell>
          <cell r="I829">
            <v>7.1650578336263798E-4</v>
          </cell>
          <cell r="J829">
            <v>9.4689852770596904E-4</v>
          </cell>
        </row>
        <row r="830">
          <cell r="A830" t="str">
            <v>RHSA-WHNGABR</v>
          </cell>
          <cell r="B830" t="str">
            <v>VAR_fout</v>
          </cell>
          <cell r="C830" t="str">
            <v>RHSA-WHNGA</v>
          </cell>
          <cell r="H830">
            <v>2.1327043181912946</v>
          </cell>
          <cell r="I830">
            <v>1.1686442774485524</v>
          </cell>
          <cell r="J830">
            <v>0.46873383449280004</v>
          </cell>
        </row>
        <row r="831">
          <cell r="A831" t="str">
            <v>RHSA-WHNGABR</v>
          </cell>
          <cell r="B831" t="str">
            <v>VAR_fout</v>
          </cell>
          <cell r="C831" t="str">
            <v>CO2_R</v>
          </cell>
          <cell r="H831">
            <v>216.70198197581001</v>
          </cell>
          <cell r="I831">
            <v>118.74479222818999</v>
          </cell>
          <cell r="J831">
            <v>47.627582542644802</v>
          </cell>
        </row>
        <row r="832">
          <cell r="A832" t="str">
            <v>RHSA-WHNGABR</v>
          </cell>
          <cell r="B832" t="str">
            <v>VAR_fin</v>
          </cell>
          <cell r="C832" t="str">
            <v>RNGA</v>
          </cell>
          <cell r="H832">
            <v>3.8422337229753554</v>
          </cell>
          <cell r="I832">
            <v>2.1054041175211053</v>
          </cell>
          <cell r="J832">
            <v>0.84446068338022773</v>
          </cell>
        </row>
        <row r="833">
          <cell r="A833" t="str">
            <v>RHSA-WHNGABR</v>
          </cell>
          <cell r="B833" t="str">
            <v>VAR_ncap</v>
          </cell>
          <cell r="C833" t="str">
            <v>-</v>
          </cell>
          <cell r="H833">
            <v>4.4728930045011897E-2</v>
          </cell>
          <cell r="I833">
            <v>3.5148984490070499E-2</v>
          </cell>
          <cell r="J833">
            <v>1.8349117105915401E-8</v>
          </cell>
        </row>
        <row r="834">
          <cell r="A834" t="str">
            <v>RHSA-WHNGABR</v>
          </cell>
          <cell r="B834" t="str">
            <v>VAR_cap</v>
          </cell>
          <cell r="C834" t="str">
            <v>-</v>
          </cell>
          <cell r="H834">
            <v>0.14638058154695222</v>
          </cell>
          <cell r="I834">
            <v>7.9877906252738162E-2</v>
          </cell>
          <cell r="J834">
            <v>4.4428698699339859E-2</v>
          </cell>
        </row>
        <row r="835">
          <cell r="A835" t="str">
            <v>ITOT-SWHWSTBR</v>
          </cell>
          <cell r="B835" t="str">
            <v>VAR_fout</v>
          </cell>
          <cell r="C835" t="str">
            <v>ITOT-SWH</v>
          </cell>
          <cell r="H835">
            <v>5.698327072891761</v>
          </cell>
          <cell r="I835">
            <v>5.6681399386632858</v>
          </cell>
          <cell r="J835">
            <v>2.937581714141642</v>
          </cell>
        </row>
        <row r="836">
          <cell r="A836" t="str">
            <v>ITOT-SWHWSTBR</v>
          </cell>
          <cell r="B836" t="str">
            <v>VAR_fout</v>
          </cell>
          <cell r="C836" t="str">
            <v>CO2_I</v>
          </cell>
          <cell r="H836">
            <v>1001.52415220522</v>
          </cell>
          <cell r="I836">
            <v>996.21853467415303</v>
          </cell>
          <cell r="J836">
            <v>501.11688064769203</v>
          </cell>
        </row>
        <row r="837">
          <cell r="A837" t="str">
            <v>ITOT-SWHWSTBR</v>
          </cell>
          <cell r="B837" t="str">
            <v>VAR_fin</v>
          </cell>
          <cell r="C837" t="str">
            <v>IWST</v>
          </cell>
          <cell r="H837">
            <v>10.792286122901059</v>
          </cell>
          <cell r="I837">
            <v>10.735113520195601</v>
          </cell>
          <cell r="J837">
            <v>5.3999663862897878</v>
          </cell>
        </row>
        <row r="838">
          <cell r="A838" t="str">
            <v>ITOT-SWHWSTBR</v>
          </cell>
          <cell r="B838" t="str">
            <v>VAR_ncap</v>
          </cell>
          <cell r="C838" t="str">
            <v>-</v>
          </cell>
          <cell r="H838">
            <v>0.24274524701091299</v>
          </cell>
          <cell r="I838">
            <v>9.0099688802590394E-2</v>
          </cell>
          <cell r="J838">
            <v>1.68209343285457E-2</v>
          </cell>
        </row>
        <row r="839">
          <cell r="A839" t="str">
            <v>ITOT-SWHWSTBR</v>
          </cell>
          <cell r="B839" t="str">
            <v>VAR_cap</v>
          </cell>
          <cell r="C839" t="str">
            <v>-</v>
          </cell>
          <cell r="H839">
            <v>0.33598524709365385</v>
          </cell>
          <cell r="I839">
            <v>0.33284480716911602</v>
          </cell>
          <cell r="J839">
            <v>0.18488814820887528</v>
          </cell>
        </row>
        <row r="840">
          <cell r="A840" t="str">
            <v>SCOM-SHSTG-ELC</v>
          </cell>
          <cell r="B840" t="str">
            <v>VAR_fout</v>
          </cell>
          <cell r="C840" t="str">
            <v>SCOM-SHAELCB</v>
          </cell>
          <cell r="H840">
            <v>6.3929292108739044E-2</v>
          </cell>
          <cell r="I840">
            <v>9.3403312930114876E-2</v>
          </cell>
          <cell r="J840">
            <v>4.382299183873796E-2</v>
          </cell>
        </row>
        <row r="841">
          <cell r="A841" t="str">
            <v>SCOM-SHSTG-ELC</v>
          </cell>
          <cell r="B841" t="str">
            <v>VAR_fin</v>
          </cell>
          <cell r="C841" t="str">
            <v>SCOM-SHAELCB</v>
          </cell>
          <cell r="H841">
            <v>7.7492529839992164E-2</v>
          </cell>
          <cell r="I841">
            <v>0.10988831222089163</v>
          </cell>
          <cell r="J841">
            <v>4.8693777109956878E-2</v>
          </cell>
        </row>
        <row r="842">
          <cell r="A842" t="str">
            <v>SCOM-SHSTG-ELC</v>
          </cell>
          <cell r="B842" t="str">
            <v>VAR_ncap</v>
          </cell>
          <cell r="C842" t="str">
            <v>-</v>
          </cell>
          <cell r="H842">
            <v>1.3017465159926201E-3</v>
          </cell>
          <cell r="I842">
            <v>3.6613665184521199E-3</v>
          </cell>
          <cell r="J842">
            <v>6.3161542527299898E-4</v>
          </cell>
        </row>
        <row r="843">
          <cell r="A843" t="str">
            <v>SCOM-SHSTG-ELC</v>
          </cell>
          <cell r="B843" t="str">
            <v>VAR_cap</v>
          </cell>
          <cell r="C843" t="str">
            <v>-</v>
          </cell>
          <cell r="H843">
            <v>5.5651626471908498E-3</v>
          </cell>
          <cell r="I843">
            <v>4.9623118680606898E-3</v>
          </cell>
          <cell r="J843">
            <v>3.8333411933223821E-3</v>
          </cell>
        </row>
        <row r="844">
          <cell r="A844" t="str">
            <v>SCOM-SHNGABR</v>
          </cell>
          <cell r="B844" t="str">
            <v>VAR_fout</v>
          </cell>
          <cell r="C844" t="str">
            <v>CO2_S</v>
          </cell>
          <cell r="H844">
            <v>647.47641796112498</v>
          </cell>
          <cell r="I844">
            <v>503.52994555016801</v>
          </cell>
          <cell r="J844">
            <v>495.75700488598301</v>
          </cell>
        </row>
        <row r="845">
          <cell r="A845" t="str">
            <v>SCOM-SHNGABR</v>
          </cell>
          <cell r="B845" t="str">
            <v>VAR_fout</v>
          </cell>
          <cell r="C845" t="str">
            <v>SCOM-SHNGA</v>
          </cell>
          <cell r="H845">
            <v>9.9055578273432623</v>
          </cell>
          <cell r="I845">
            <v>7.7033616284472402</v>
          </cell>
          <cell r="J845">
            <v>7.5844456168339409</v>
          </cell>
        </row>
        <row r="846">
          <cell r="A846" t="str">
            <v>SCOM-SHNGABR</v>
          </cell>
          <cell r="B846" t="str">
            <v>VAR_fin</v>
          </cell>
          <cell r="C846" t="str">
            <v>SNGA</v>
          </cell>
          <cell r="H846">
            <v>11.480078332644059</v>
          </cell>
          <cell r="I846">
            <v>8.9278359140100694</v>
          </cell>
          <cell r="J846">
            <v>8.7900178171273478</v>
          </cell>
        </row>
        <row r="847">
          <cell r="A847" t="str">
            <v>SCOM-SHNGABR</v>
          </cell>
          <cell r="B847" t="str">
            <v>VAR_ncap</v>
          </cell>
          <cell r="C847" t="str">
            <v>-</v>
          </cell>
          <cell r="H847">
            <v>0.246504467474435</v>
          </cell>
          <cell r="I847">
            <v>0.60765041676781695</v>
          </cell>
          <cell r="J847">
            <v>0.21395857236709701</v>
          </cell>
        </row>
        <row r="848">
          <cell r="A848" t="str">
            <v>SCOM-SHNGABR</v>
          </cell>
          <cell r="B848" t="str">
            <v>VAR_cap</v>
          </cell>
          <cell r="C848" t="str">
            <v>-</v>
          </cell>
          <cell r="H848">
            <v>0.89785383664423768</v>
          </cell>
          <cell r="I848">
            <v>0.85415487058148754</v>
          </cell>
          <cell r="J848">
            <v>0.75922079890097582</v>
          </cell>
        </row>
        <row r="849">
          <cell r="A849" t="str">
            <v>RHEM-SHELCHP</v>
          </cell>
          <cell r="B849" t="str">
            <v>VAR_fout</v>
          </cell>
          <cell r="C849" t="str">
            <v>RHEM-SHAELCH</v>
          </cell>
          <cell r="H849">
            <v>24.214478338385238</v>
          </cell>
          <cell r="I849">
            <v>29.622387219547882</v>
          </cell>
          <cell r="J849">
            <v>30.03068441712664</v>
          </cell>
        </row>
        <row r="850">
          <cell r="A850" t="str">
            <v>RHEM-SHELCHP</v>
          </cell>
          <cell r="B850" t="str">
            <v>VAR_fin</v>
          </cell>
          <cell r="C850" t="str">
            <v>RHEMELCHPC</v>
          </cell>
          <cell r="H850">
            <v>24.214478338385238</v>
          </cell>
          <cell r="I850">
            <v>29.622387219547882</v>
          </cell>
          <cell r="J850">
            <v>30.03068441712664</v>
          </cell>
        </row>
        <row r="851">
          <cell r="A851" t="str">
            <v>RHEM-SHELCHP</v>
          </cell>
          <cell r="B851" t="str">
            <v>VAR_fin</v>
          </cell>
          <cell r="C851" t="str">
            <v>RHEM_ELC</v>
          </cell>
          <cell r="H851">
            <v>6.5919753389326088</v>
          </cell>
          <cell r="I851">
            <v>7.6644032327592191</v>
          </cell>
          <cell r="J851">
            <v>7.2084838487064982</v>
          </cell>
        </row>
        <row r="852">
          <cell r="A852" t="str">
            <v>RHEM-SHELCHP</v>
          </cell>
          <cell r="B852" t="str">
            <v>VAR_ncap</v>
          </cell>
          <cell r="C852" t="str">
            <v>-</v>
          </cell>
          <cell r="H852">
            <v>0.90431769884258895</v>
          </cell>
          <cell r="I852">
            <v>0.80440221056146199</v>
          </cell>
          <cell r="J852">
            <v>1.15428442568943</v>
          </cell>
        </row>
        <row r="853">
          <cell r="A853" t="str">
            <v>RHEM-SHELCHP</v>
          </cell>
          <cell r="B853" t="str">
            <v>VAR_cap</v>
          </cell>
          <cell r="C853" t="str">
            <v>-</v>
          </cell>
          <cell r="H853">
            <v>1.709872633001345</v>
          </cell>
          <cell r="I853">
            <v>2.0917425797092557</v>
          </cell>
          <cell r="J853">
            <v>2.1205876187280919</v>
          </cell>
        </row>
        <row r="854">
          <cell r="A854" t="str">
            <v>RHNM-SHSTG-ELC</v>
          </cell>
          <cell r="B854" t="str">
            <v>VAR_fout</v>
          </cell>
          <cell r="C854" t="str">
            <v>RHNM-SHAELCB</v>
          </cell>
          <cell r="H854">
            <v>3.1199783495295086E-4</v>
          </cell>
          <cell r="I854">
            <v>3.756967587480793E-4</v>
          </cell>
          <cell r="J854">
            <v>2.4327476980058756E-4</v>
          </cell>
        </row>
        <row r="855">
          <cell r="A855" t="str">
            <v>RHNM-SHSTG-ELC</v>
          </cell>
          <cell r="B855" t="str">
            <v>VAR_fout</v>
          </cell>
          <cell r="C855" t="str">
            <v>AUX_RHNM-SHSTG-ELC_OUT</v>
          </cell>
          <cell r="H855">
            <v>3.1230983278790367E-4</v>
          </cell>
          <cell r="I855">
            <v>3.7607245550682781E-4</v>
          </cell>
          <cell r="J855">
            <v>2.4351804457038826E-4</v>
          </cell>
        </row>
        <row r="856">
          <cell r="A856" t="str">
            <v>RHNM-SHSTG-ELC</v>
          </cell>
          <cell r="B856" t="str">
            <v>VAR_fin</v>
          </cell>
          <cell r="C856" t="str">
            <v>RHNM-SHAELCB</v>
          </cell>
          <cell r="H856">
            <v>3.1202829609952809E-4</v>
          </cell>
          <cell r="I856">
            <v>3.7565864278048792E-4</v>
          </cell>
          <cell r="J856">
            <v>2.4327281735625765E-4</v>
          </cell>
        </row>
        <row r="857">
          <cell r="A857" t="str">
            <v>RHNM-SHSTG-ELC</v>
          </cell>
          <cell r="B857" t="str">
            <v>VAR_ncap</v>
          </cell>
          <cell r="C857" t="str">
            <v>-</v>
          </cell>
          <cell r="H857">
            <v>7.9641450137564503E-5</v>
          </cell>
          <cell r="I857">
            <v>4.1435166616324799E-6</v>
          </cell>
          <cell r="J857">
            <v>4.34949627732963E-6</v>
          </cell>
        </row>
        <row r="858">
          <cell r="A858" t="str">
            <v>RHNM-SHSTG-ELC</v>
          </cell>
          <cell r="B858" t="str">
            <v>VAR_cap</v>
          </cell>
          <cell r="C858" t="str">
            <v>-</v>
          </cell>
          <cell r="H858">
            <v>3.5975579760107006E-4</v>
          </cell>
          <cell r="I858">
            <v>7.9943796829559736E-5</v>
          </cell>
          <cell r="J858">
            <v>3.3807231913927681E-5</v>
          </cell>
        </row>
        <row r="859">
          <cell r="A859" t="str">
            <v>D-RWOD</v>
          </cell>
          <cell r="B859" t="str">
            <v>VAR_fout</v>
          </cell>
          <cell r="C859" t="str">
            <v>RWOD</v>
          </cell>
          <cell r="H859">
            <v>13.789597073107457</v>
          </cell>
          <cell r="I859">
            <v>13.156034881654488</v>
          </cell>
          <cell r="J859">
            <v>8.2607671276406549</v>
          </cell>
        </row>
        <row r="860">
          <cell r="A860" t="str">
            <v>D-RWOD</v>
          </cell>
          <cell r="B860" t="str">
            <v>VAR_fin</v>
          </cell>
          <cell r="C860" t="str">
            <v>WOD</v>
          </cell>
          <cell r="H860">
            <v>13.789597073107457</v>
          </cell>
          <cell r="I860">
            <v>13.156034881654488</v>
          </cell>
          <cell r="J860">
            <v>8.2607671276406549</v>
          </cell>
        </row>
        <row r="861">
          <cell r="A861" t="str">
            <v>RHNS-SHLTHCHPWOD</v>
          </cell>
          <cell r="B861" t="str">
            <v>VAR_ncap</v>
          </cell>
          <cell r="C861" t="str">
            <v>-</v>
          </cell>
          <cell r="H861">
            <v>3.1747622256177703E-5</v>
          </cell>
          <cell r="I861">
            <v>2.64134301264881E-5</v>
          </cell>
          <cell r="J861">
            <v>8.7752072546816596E-6</v>
          </cell>
        </row>
        <row r="862">
          <cell r="A862" t="str">
            <v>RHNS-SHLTHCHPWOD</v>
          </cell>
          <cell r="B862" t="str">
            <v>VAR_cap</v>
          </cell>
          <cell r="C862" t="str">
            <v>-</v>
          </cell>
          <cell r="H862">
            <v>4.0191040268832128E-5</v>
          </cell>
          <cell r="I862">
            <v>4.4233197074093198E-5</v>
          </cell>
          <cell r="J862">
            <v>1.6789606562079201E-5</v>
          </cell>
        </row>
        <row r="863">
          <cell r="A863" t="str">
            <v>RHNM-SHELCBR</v>
          </cell>
          <cell r="B863" t="str">
            <v>VAR_fout</v>
          </cell>
          <cell r="C863" t="str">
            <v>RHNM-SHAELCB</v>
          </cell>
          <cell r="H863">
            <v>1.7898752638218988E-3</v>
          </cell>
          <cell r="I863">
            <v>1.8938484893943103E-3</v>
          </cell>
          <cell r="J863">
            <v>1.684592505126973E-3</v>
          </cell>
        </row>
        <row r="864">
          <cell r="A864" t="str">
            <v>RHNM-SHELCBR</v>
          </cell>
          <cell r="B864" t="str">
            <v>VAR_fin</v>
          </cell>
          <cell r="C864" t="str">
            <v>RHNM_ELC</v>
          </cell>
          <cell r="H864">
            <v>1.884079225075683E-3</v>
          </cell>
          <cell r="I864">
            <v>1.9935247256782224E-3</v>
          </cell>
          <cell r="J864">
            <v>1.7732552685547078E-3</v>
          </cell>
        </row>
        <row r="865">
          <cell r="A865" t="str">
            <v>RHNM-SHELCBR</v>
          </cell>
          <cell r="B865" t="str">
            <v>VAR_ncap</v>
          </cell>
          <cell r="C865" t="str">
            <v>-</v>
          </cell>
          <cell r="H865">
            <v>3.3826266960723E-4</v>
          </cell>
        </row>
        <row r="866">
          <cell r="A866" t="str">
            <v>RHNM-SHELCBR</v>
          </cell>
          <cell r="B866" t="str">
            <v>VAR_cap</v>
          </cell>
          <cell r="C866" t="str">
            <v>-</v>
          </cell>
          <cell r="H866">
            <v>1.5289674649883499E-3</v>
          </cell>
          <cell r="I866">
            <v>3.3823596913738887E-4</v>
          </cell>
          <cell r="J866">
            <v>1.4302636546338548E-4</v>
          </cell>
        </row>
        <row r="867">
          <cell r="A867" t="str">
            <v>RHNS-SHSTG-NGAHP</v>
          </cell>
          <cell r="B867" t="str">
            <v>VAR_fout</v>
          </cell>
          <cell r="C867" t="str">
            <v>RHNS-SHANGAH</v>
          </cell>
          <cell r="H867">
            <v>4.1719771764672016E-2</v>
          </cell>
          <cell r="I867">
            <v>5.9926021393493366E-2</v>
          </cell>
          <cell r="J867">
            <v>8.171629446738965E-2</v>
          </cell>
        </row>
        <row r="868">
          <cell r="A868" t="str">
            <v>RHNS-SHSTG-NGAHP</v>
          </cell>
          <cell r="B868" t="str">
            <v>VAR_fout</v>
          </cell>
          <cell r="C868" t="str">
            <v>AUX_RHNS-SHSTG-NGAHP_OUT</v>
          </cell>
          <cell r="H868">
            <v>4.1761491536436657E-2</v>
          </cell>
          <cell r="I868">
            <v>5.998594741488688E-2</v>
          </cell>
          <cell r="J868">
            <v>8.179801076185704E-2</v>
          </cell>
        </row>
        <row r="869">
          <cell r="A869" t="str">
            <v>RHNS-SHSTG-NGAHP</v>
          </cell>
          <cell r="B869" t="str">
            <v>VAR_fin</v>
          </cell>
          <cell r="C869" t="str">
            <v>RHNS-SHANGAH</v>
          </cell>
          <cell r="H869">
            <v>4.1720127660375673E-2</v>
          </cell>
          <cell r="I869">
            <v>5.9926289468725982E-2</v>
          </cell>
          <cell r="J869">
            <v>8.1716558459211677E-2</v>
          </cell>
        </row>
        <row r="870">
          <cell r="A870" t="str">
            <v>RHNS-SHSTG-NGAHP</v>
          </cell>
          <cell r="B870" t="str">
            <v>VAR_ncap</v>
          </cell>
          <cell r="C870" t="str">
            <v>-</v>
          </cell>
          <cell r="H870">
            <v>4.8363521178732098E-3</v>
          </cell>
          <cell r="I870">
            <v>5.3964729748916E-3</v>
          </cell>
          <cell r="J870">
            <v>8.4573632247836993E-3</v>
          </cell>
        </row>
        <row r="871">
          <cell r="A871" t="str">
            <v>RHNS-SHSTG-NGAHP</v>
          </cell>
          <cell r="B871" t="str">
            <v>VAR_cap</v>
          </cell>
          <cell r="C871" t="str">
            <v>-</v>
          </cell>
          <cell r="H871">
            <v>1.073533455124394E-2</v>
          </cell>
          <cell r="I871">
            <v>1.304572226503025E-2</v>
          </cell>
          <cell r="J871">
            <v>1.4415709098385755E-2</v>
          </cell>
        </row>
        <row r="872">
          <cell r="A872" t="str">
            <v>RHNS-SHLTHDH</v>
          </cell>
          <cell r="B872" t="str">
            <v>VAR_fout</v>
          </cell>
          <cell r="C872" t="str">
            <v>RHNS-SHLTHD</v>
          </cell>
          <cell r="H872">
            <v>0.12347501092623538</v>
          </cell>
          <cell r="I872">
            <v>0.12984014922357756</v>
          </cell>
          <cell r="J872">
            <v>0.13884105339720007</v>
          </cell>
        </row>
        <row r="873">
          <cell r="A873" t="str">
            <v>RHNS-SHLTHDH</v>
          </cell>
          <cell r="B873" t="str">
            <v>VAR_fin</v>
          </cell>
          <cell r="C873" t="str">
            <v>RHNS_LTH_DH</v>
          </cell>
          <cell r="H873">
            <v>0.13575969885317377</v>
          </cell>
          <cell r="I873">
            <v>0.14270729559948653</v>
          </cell>
          <cell r="J873">
            <v>0.15260018851626778</v>
          </cell>
        </row>
        <row r="874">
          <cell r="A874" t="str">
            <v>RHNS-SHLTHDH</v>
          </cell>
          <cell r="B874" t="str">
            <v>VAR_fin</v>
          </cell>
          <cell r="C874" t="str">
            <v>RHNSLTHDHC</v>
          </cell>
          <cell r="H874">
            <v>0.12347501092623538</v>
          </cell>
          <cell r="I874">
            <v>0.12984014922357756</v>
          </cell>
          <cell r="J874">
            <v>0.13884105339720007</v>
          </cell>
        </row>
        <row r="875">
          <cell r="A875" t="str">
            <v>RHNS-SHLTHDH</v>
          </cell>
          <cell r="B875" t="str">
            <v>VAR_ncap</v>
          </cell>
          <cell r="C875" t="str">
            <v>-</v>
          </cell>
          <cell r="H875">
            <v>1.24166071446172E-2</v>
          </cell>
          <cell r="I875">
            <v>3.5188436304342601E-3</v>
          </cell>
          <cell r="J875">
            <v>1.1850300282438199E-3</v>
          </cell>
        </row>
        <row r="876">
          <cell r="A876" t="str">
            <v>RHNS-SHLTHDH</v>
          </cell>
          <cell r="B876" t="str">
            <v>VAR_cap</v>
          </cell>
          <cell r="C876" t="str">
            <v>-</v>
          </cell>
          <cell r="H876">
            <v>2.1958302576090001E-2</v>
          </cell>
          <cell r="I876">
            <v>1.9537238719507501E-2</v>
          </cell>
          <cell r="J876">
            <v>1.2168336118095199E-2</v>
          </cell>
        </row>
        <row r="877">
          <cell r="A877" t="str">
            <v>ITOT-SWHNGAHP</v>
          </cell>
          <cell r="B877" t="str">
            <v>VAR_fout</v>
          </cell>
          <cell r="C877" t="str">
            <v>ITOT-SWHANGAH</v>
          </cell>
          <cell r="H877">
            <v>5.8403361402504953E-4</v>
          </cell>
          <cell r="I877">
            <v>1.6320693380983528E-4</v>
          </cell>
          <cell r="J877">
            <v>3.2930521215328377E-4</v>
          </cell>
        </row>
        <row r="878">
          <cell r="A878" t="str">
            <v>ITOT-SWHNGAHP</v>
          </cell>
          <cell r="B878" t="str">
            <v>VAR_fout</v>
          </cell>
          <cell r="C878" t="str">
            <v>CO2_I</v>
          </cell>
          <cell r="H878">
            <v>1.68136206092033E-2</v>
          </cell>
          <cell r="I878">
            <v>4.6118162437305101E-3</v>
          </cell>
          <cell r="J878">
            <v>8.9740916946511404E-3</v>
          </cell>
        </row>
        <row r="879">
          <cell r="A879" t="str">
            <v>ITOT-SWHNGAHP</v>
          </cell>
          <cell r="B879" t="str">
            <v>VAR_fin</v>
          </cell>
          <cell r="C879" t="str">
            <v>ITOTELCHPC</v>
          </cell>
          <cell r="H879">
            <v>5.8403361402504953E-4</v>
          </cell>
          <cell r="I879">
            <v>1.6320693380983528E-4</v>
          </cell>
          <cell r="J879">
            <v>3.2930521215328377E-4</v>
          </cell>
        </row>
        <row r="880">
          <cell r="A880" t="str">
            <v>ITOT-SWHNGAHP</v>
          </cell>
          <cell r="B880" t="str">
            <v>VAR_fin</v>
          </cell>
          <cell r="C880" t="str">
            <v>INGA</v>
          </cell>
          <cell r="H880">
            <v>2.9811384058871162E-4</v>
          </cell>
          <cell r="I880">
            <v>8.1769791555505518E-5</v>
          </cell>
          <cell r="J880">
            <v>1.5911510096899191E-4</v>
          </cell>
        </row>
        <row r="881">
          <cell r="A881" t="str">
            <v>ITOT-SWHNGAHP</v>
          </cell>
          <cell r="B881" t="str">
            <v>VAR_ncap</v>
          </cell>
          <cell r="C881" t="str">
            <v>-</v>
          </cell>
          <cell r="H881">
            <v>7.3525915611443699E-6</v>
          </cell>
          <cell r="I881">
            <v>9.6021032442997508E-6</v>
          </cell>
          <cell r="J881">
            <v>2.1988492655755601E-5</v>
          </cell>
        </row>
        <row r="882">
          <cell r="A882" t="str">
            <v>ITOT-SWHNGAHP</v>
          </cell>
          <cell r="B882" t="str">
            <v>VAR_cap</v>
          </cell>
          <cell r="C882" t="str">
            <v>-</v>
          </cell>
          <cell r="H882">
            <v>5.8325568746570708E-5</v>
          </cell>
          <cell r="I882">
            <v>1.7128758643416042E-5</v>
          </cell>
          <cell r="J882">
            <v>3.1978864791999443E-5</v>
          </cell>
        </row>
        <row r="883">
          <cell r="A883" t="str">
            <v>RHSA-WHLFOBR</v>
          </cell>
          <cell r="B883" t="str">
            <v>VAR_fout</v>
          </cell>
          <cell r="C883" t="str">
            <v>CO2_R</v>
          </cell>
          <cell r="H883">
            <v>177.50288603975099</v>
          </cell>
          <cell r="I883">
            <v>83.580502428344801</v>
          </cell>
          <cell r="J883">
            <v>5.4763940666033504</v>
          </cell>
        </row>
        <row r="884">
          <cell r="A884" t="str">
            <v>RHSA-WHLFOBR</v>
          </cell>
          <cell r="B884" t="str">
            <v>VAR_fout</v>
          </cell>
          <cell r="C884" t="str">
            <v>RHSA-WHLFO</v>
          </cell>
          <cell r="H884">
            <v>1.3227165549492683</v>
          </cell>
          <cell r="I884">
            <v>0.6307474485689426</v>
          </cell>
          <cell r="J884">
            <v>4.3654771269149156E-2</v>
          </cell>
        </row>
        <row r="885">
          <cell r="A885" t="str">
            <v>RHSA-WHLFOBR</v>
          </cell>
          <cell r="B885" t="str">
            <v>VAR_fin</v>
          </cell>
          <cell r="C885" t="str">
            <v>RLFO</v>
          </cell>
          <cell r="H885">
            <v>2.4084516423304101</v>
          </cell>
          <cell r="I885">
            <v>1.1340638049978955</v>
          </cell>
          <cell r="J885">
            <v>7.430656806788799E-2</v>
          </cell>
        </row>
        <row r="886">
          <cell r="A886" t="str">
            <v>RHSA-WHLFOBR</v>
          </cell>
          <cell r="B886" t="str">
            <v>VAR_ncap</v>
          </cell>
          <cell r="C886" t="str">
            <v>-</v>
          </cell>
          <cell r="H886">
            <v>3.11754211016903E-2</v>
          </cell>
          <cell r="I886">
            <v>1.19365254860726E-2</v>
          </cell>
        </row>
        <row r="887">
          <cell r="A887" t="str">
            <v>RHSA-WHLFOBR</v>
          </cell>
          <cell r="B887" t="str">
            <v>VAR_cap</v>
          </cell>
          <cell r="C887" t="str">
            <v>-</v>
          </cell>
          <cell r="H887">
            <v>9.1521503127227899E-2</v>
          </cell>
          <cell r="I887">
            <v>4.3111944040944879E-2</v>
          </cell>
          <cell r="J887">
            <v>4.1874828395046977E-3</v>
          </cell>
        </row>
        <row r="888">
          <cell r="A888" t="str">
            <v>D-IWST</v>
          </cell>
          <cell r="B888" t="str">
            <v>VAR_fout</v>
          </cell>
          <cell r="C888" t="str">
            <v>CO2</v>
          </cell>
          <cell r="H888">
            <v>1001.7548061771899</v>
          </cell>
          <cell r="I888">
            <v>996.69825530307401</v>
          </cell>
          <cell r="J888">
            <v>986.58512327164897</v>
          </cell>
        </row>
        <row r="889">
          <cell r="A889" t="str">
            <v>D-IWST</v>
          </cell>
          <cell r="B889" t="str">
            <v>VAR_fout</v>
          </cell>
          <cell r="C889" t="str">
            <v>IWST</v>
          </cell>
          <cell r="H889">
            <v>10.794771618288708</v>
          </cell>
          <cell r="I889">
            <v>10.740282923524497</v>
          </cell>
          <cell r="J889">
            <v>10.631305207668637</v>
          </cell>
        </row>
        <row r="890">
          <cell r="A890" t="str">
            <v>D-IWST</v>
          </cell>
          <cell r="B890" t="str">
            <v>VAR_fin</v>
          </cell>
          <cell r="C890" t="str">
            <v>WSTNREN</v>
          </cell>
          <cell r="H890">
            <v>10.794771618288708</v>
          </cell>
          <cell r="I890">
            <v>10.740282923524497</v>
          </cell>
          <cell r="J890">
            <v>10.631305207668637</v>
          </cell>
        </row>
        <row r="891">
          <cell r="A891" t="str">
            <v>RHES-SHLFOBR</v>
          </cell>
          <cell r="B891" t="str">
            <v>VAR_fout</v>
          </cell>
          <cell r="C891" t="str">
            <v>CO2_R</v>
          </cell>
          <cell r="H891">
            <v>335.17517773124302</v>
          </cell>
          <cell r="I891">
            <v>107.864372017534</v>
          </cell>
          <cell r="J891">
            <v>11.4729082404455</v>
          </cell>
        </row>
        <row r="892">
          <cell r="A892" t="str">
            <v>RHES-SHLFOBR</v>
          </cell>
          <cell r="B892" t="str">
            <v>VAR_fout</v>
          </cell>
          <cell r="C892" t="str">
            <v>RHES-SHLFO</v>
          </cell>
          <cell r="H892">
            <v>3.9316323847252352</v>
          </cell>
          <cell r="I892">
            <v>1.2627142798566662</v>
          </cell>
          <cell r="J892">
            <v>0.13472941930772789</v>
          </cell>
        </row>
        <row r="893">
          <cell r="A893" t="str">
            <v>RHES-SHLFOBR</v>
          </cell>
          <cell r="B893" t="str">
            <v>VAR_fin</v>
          </cell>
          <cell r="C893" t="str">
            <v>RLFO</v>
          </cell>
          <cell r="H893">
            <v>4.5478314481851161</v>
          </cell>
          <cell r="I893">
            <v>1.4635600002379114</v>
          </cell>
          <cell r="J893">
            <v>0.15567039674959948</v>
          </cell>
        </row>
        <row r="894">
          <cell r="A894" t="str">
            <v>RHES-SHLFOBR</v>
          </cell>
          <cell r="B894" t="str">
            <v>VAR_ncap</v>
          </cell>
          <cell r="C894" t="str">
            <v>-</v>
          </cell>
          <cell r="H894">
            <v>5.4276846510147303E-3</v>
          </cell>
          <cell r="I894">
            <v>9.6585503530667194E-2</v>
          </cell>
        </row>
        <row r="895">
          <cell r="A895" t="str">
            <v>RHES-SHLFOBR</v>
          </cell>
          <cell r="B895" t="str">
            <v>VAR_cap</v>
          </cell>
          <cell r="C895" t="str">
            <v>-</v>
          </cell>
          <cell r="H895">
            <v>0.31764095425496519</v>
          </cell>
          <cell r="I895">
            <v>0.10201319874789216</v>
          </cell>
          <cell r="J895">
            <v>1.7727973409599099E-2</v>
          </cell>
        </row>
        <row r="896">
          <cell r="A896" t="str">
            <v>ITOT-SWHSTG</v>
          </cell>
          <cell r="B896" t="str">
            <v>VAR_fout</v>
          </cell>
          <cell r="C896" t="str">
            <v>ITOT-SWH</v>
          </cell>
          <cell r="H896">
            <v>2.4798769358381914E-4</v>
          </cell>
          <cell r="I896">
            <v>4.5355955716707336E-4</v>
          </cell>
          <cell r="J896">
            <v>0.50007618213227423</v>
          </cell>
        </row>
        <row r="897">
          <cell r="A897" t="str">
            <v>ITOT-SWHSTG</v>
          </cell>
          <cell r="B897" t="str">
            <v>VAR_fout</v>
          </cell>
          <cell r="C897" t="str">
            <v>AUX_ITOT-STG_OUT</v>
          </cell>
          <cell r="H897">
            <v>2.4771215170205985E-4</v>
          </cell>
          <cell r="I897">
            <v>4.5355955716707379E-4</v>
          </cell>
          <cell r="J897">
            <v>0.50007618213227423</v>
          </cell>
        </row>
        <row r="898">
          <cell r="A898" t="str">
            <v>ITOT-SWHSTG</v>
          </cell>
          <cell r="B898" t="str">
            <v>VAR_fin</v>
          </cell>
          <cell r="C898" t="str">
            <v>AUX_ITOT-STG_IN</v>
          </cell>
          <cell r="H898">
            <v>2.7554187767062126E-4</v>
          </cell>
          <cell r="I898">
            <v>4.8769844948403398E-4</v>
          </cell>
          <cell r="J898">
            <v>0.50512745642876489</v>
          </cell>
        </row>
        <row r="899">
          <cell r="A899" t="str">
            <v>ITOT-SWHSTG</v>
          </cell>
          <cell r="B899" t="str">
            <v>VAR_fin</v>
          </cell>
          <cell r="C899" t="str">
            <v>ITOT-SWH</v>
          </cell>
          <cell r="H899">
            <v>2.7554187767062126E-4</v>
          </cell>
          <cell r="I899">
            <v>4.8769844948403398E-4</v>
          </cell>
          <cell r="J899">
            <v>0.50512745642876489</v>
          </cell>
        </row>
        <row r="900">
          <cell r="A900" t="str">
            <v>ITOT-SWHSTG</v>
          </cell>
          <cell r="B900" t="str">
            <v>VAR_ncap</v>
          </cell>
          <cell r="C900" t="str">
            <v>-</v>
          </cell>
          <cell r="H900">
            <v>1.08159280997256E-4</v>
          </cell>
          <cell r="I900">
            <v>2.94109574625314E-5</v>
          </cell>
          <cell r="J900">
            <v>9.8632873274820607E-2</v>
          </cell>
        </row>
        <row r="901">
          <cell r="A901" t="str">
            <v>ITOT-SWHSTG</v>
          </cell>
          <cell r="B901" t="str">
            <v>VAR_cap</v>
          </cell>
          <cell r="C901" t="str">
            <v>-</v>
          </cell>
          <cell r="H901">
            <v>1.3148268863425768E-4</v>
          </cell>
          <cell r="I901">
            <v>1.3762791766074487E-4</v>
          </cell>
          <cell r="J901">
            <v>9.8699504300145152E-2</v>
          </cell>
        </row>
        <row r="902">
          <cell r="A902" t="str">
            <v>SCOM-SHLFOBR</v>
          </cell>
          <cell r="B902" t="str">
            <v>VAR_fout</v>
          </cell>
          <cell r="C902" t="str">
            <v>CO2_S</v>
          </cell>
          <cell r="H902">
            <v>629.351008167141</v>
          </cell>
          <cell r="I902">
            <v>260.60124237036598</v>
          </cell>
          <cell r="J902">
            <v>18.065592133511998</v>
          </cell>
        </row>
        <row r="903">
          <cell r="A903" t="str">
            <v>SCOM-SHLFOBR</v>
          </cell>
          <cell r="B903" t="str">
            <v>VAR_fout</v>
          </cell>
          <cell r="C903" t="str">
            <v>SCOM-SHLFO</v>
          </cell>
          <cell r="H903">
            <v>6.9762641793204727</v>
          </cell>
          <cell r="I903">
            <v>2.8887267814655977</v>
          </cell>
          <cell r="J903">
            <v>0.20206257680714065</v>
          </cell>
        </row>
        <row r="904">
          <cell r="A904" t="str">
            <v>SCOM-SHLFOBR</v>
          </cell>
          <cell r="B904" t="str">
            <v>VAR_fin</v>
          </cell>
          <cell r="C904" t="str">
            <v>SLFO</v>
          </cell>
          <cell r="H904">
            <v>8.539362390327554</v>
          </cell>
          <cell r="I904">
            <v>3.5359734378611307</v>
          </cell>
          <cell r="J904">
            <v>0.2451233668047757</v>
          </cell>
        </row>
        <row r="905">
          <cell r="A905" t="str">
            <v>SCOM-SHLFOBR</v>
          </cell>
          <cell r="B905" t="str">
            <v>VAR_ncap</v>
          </cell>
          <cell r="C905" t="str">
            <v>-</v>
          </cell>
          <cell r="H905">
            <v>0.22608212192788299</v>
          </cell>
          <cell r="I905">
            <v>4.9007550167126603E-7</v>
          </cell>
          <cell r="J905">
            <v>2.4603959886044098E-8</v>
          </cell>
        </row>
        <row r="906">
          <cell r="A906" t="str">
            <v>SCOM-SHLFOBR</v>
          </cell>
          <cell r="B906" t="str">
            <v>VAR_cap</v>
          </cell>
          <cell r="C906" t="str">
            <v>-</v>
          </cell>
          <cell r="H906">
            <v>0.60258349890892005</v>
          </cell>
          <cell r="I906">
            <v>0.22608262467635601</v>
          </cell>
          <cell r="J906">
            <v>3.4269072688792597E-2</v>
          </cell>
        </row>
        <row r="907">
          <cell r="A907" t="str">
            <v>RHNM-SHPLTBR</v>
          </cell>
          <cell r="B907" t="str">
            <v>VAR_fout</v>
          </cell>
          <cell r="C907" t="str">
            <v>RHNM-SHPLT</v>
          </cell>
          <cell r="H907">
            <v>4.1273230958371529E-2</v>
          </cell>
          <cell r="I907">
            <v>4.5233155516901657E-2</v>
          </cell>
          <cell r="J907">
            <v>4.6856852857187936E-2</v>
          </cell>
        </row>
        <row r="908">
          <cell r="A908" t="str">
            <v>RHNM-SHPLTBR</v>
          </cell>
          <cell r="B908" t="str">
            <v>VAR_fin</v>
          </cell>
          <cell r="C908" t="str">
            <v>RPLT</v>
          </cell>
          <cell r="H908">
            <v>5.4209165207228766E-2</v>
          </cell>
          <cell r="I908">
            <v>5.9098309467562449E-2</v>
          </cell>
          <cell r="J908">
            <v>6.1219712823161646E-2</v>
          </cell>
        </row>
        <row r="909">
          <cell r="A909" t="str">
            <v>RHNM-SHPLTBR</v>
          </cell>
          <cell r="B909" t="str">
            <v>VAR_fin</v>
          </cell>
          <cell r="C909" t="str">
            <v>RHNMPLTBRC</v>
          </cell>
          <cell r="H909">
            <v>4.1273230958371529E-2</v>
          </cell>
          <cell r="I909">
            <v>4.5233155516901657E-2</v>
          </cell>
          <cell r="J909">
            <v>4.6856852857187936E-2</v>
          </cell>
        </row>
        <row r="910">
          <cell r="A910" t="str">
            <v>RHNM-SHPLTBR</v>
          </cell>
          <cell r="B910" t="str">
            <v>VAR_ncap</v>
          </cell>
          <cell r="C910" t="str">
            <v>-</v>
          </cell>
          <cell r="H910">
            <v>2.6501025889642203E-4</v>
          </cell>
          <cell r="I910">
            <v>3.24874028804079E-3</v>
          </cell>
          <cell r="J910">
            <v>1.17964546949454E-3</v>
          </cell>
        </row>
        <row r="911">
          <cell r="A911" t="str">
            <v>RHNM-SHPLTBR</v>
          </cell>
          <cell r="B911" t="str">
            <v>VAR_cap</v>
          </cell>
          <cell r="C911" t="str">
            <v>-</v>
          </cell>
          <cell r="H911">
            <v>3.2090535377745392E-3</v>
          </cell>
          <cell r="I911">
            <v>3.5138247796410822E-3</v>
          </cell>
          <cell r="J911">
            <v>3.6494483492997237E-3</v>
          </cell>
        </row>
        <row r="912">
          <cell r="A912" t="str">
            <v>D-RHES_NKEV_GAS_ELC_CHP</v>
          </cell>
          <cell r="B912" t="str">
            <v>VAR_fout</v>
          </cell>
          <cell r="C912" t="str">
            <v>RHES_ELC</v>
          </cell>
          <cell r="H912">
            <v>4.361403859401705E-3</v>
          </cell>
          <cell r="I912">
            <v>1.3407574847206563E-3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ELC5</v>
          </cell>
          <cell r="H913">
            <v>1.2086914658582612E-4</v>
          </cell>
          <cell r="I913">
            <v>9.2974893517439394E-5</v>
          </cell>
        </row>
        <row r="914">
          <cell r="A914" t="str">
            <v>D-RHES_NKEV_GAS_ELC_CHP</v>
          </cell>
          <cell r="B914" t="str">
            <v>VAR_fin</v>
          </cell>
          <cell r="C914" t="str">
            <v>RHES_NKEV_GAS_ELC_CHP</v>
          </cell>
          <cell r="H914">
            <v>4.4821086094104243E-3</v>
          </cell>
          <cell r="I914">
            <v>1.4335936679049591E-3</v>
          </cell>
        </row>
        <row r="915">
          <cell r="A915" t="str">
            <v>SCOM-SHSTG-SOL</v>
          </cell>
          <cell r="B915" t="str">
            <v>VAR_fout</v>
          </cell>
          <cell r="C915" t="str">
            <v>SCOM-SHASOL</v>
          </cell>
          <cell r="H915">
            <v>2.87122491881469E-2</v>
          </cell>
          <cell r="I915">
            <v>3.9341893157619268E-2</v>
          </cell>
          <cell r="J915">
            <v>4.715980075598495E-2</v>
          </cell>
        </row>
        <row r="916">
          <cell r="A916" t="str">
            <v>SCOM-SHSTG-SOL</v>
          </cell>
          <cell r="B916" t="str">
            <v>VAR_fin</v>
          </cell>
          <cell r="C916" t="str">
            <v>SCOM-SHASOL</v>
          </cell>
          <cell r="H916">
            <v>3.4811670092199362E-2</v>
          </cell>
          <cell r="I916">
            <v>4.6295072483629372E-2</v>
          </cell>
          <cell r="J916">
            <v>5.2408606472203405E-2</v>
          </cell>
        </row>
        <row r="917">
          <cell r="A917" t="str">
            <v>SCOM-SHSTG-SOL</v>
          </cell>
          <cell r="B917" t="str">
            <v>VAR_ncap</v>
          </cell>
          <cell r="C917" t="str">
            <v>-</v>
          </cell>
          <cell r="H917">
            <v>1.6788581033242302E-2</v>
          </cell>
          <cell r="I917">
            <v>1.9324489191881501E-2</v>
          </cell>
          <cell r="J917">
            <v>2.3716656766604401E-2</v>
          </cell>
        </row>
        <row r="918">
          <cell r="A918" t="str">
            <v>SCOM-SHSTG-SOL</v>
          </cell>
          <cell r="B918" t="str">
            <v>VAR_cap</v>
          </cell>
          <cell r="C918" t="str">
            <v>-</v>
          </cell>
          <cell r="H918">
            <v>2.9780371601815001E-2</v>
          </cell>
          <cell r="I918">
            <v>3.6927299713284803E-2</v>
          </cell>
          <cell r="J918">
            <v>4.4842566385633602E-2</v>
          </cell>
        </row>
        <row r="919">
          <cell r="A919" t="str">
            <v>RHNM-SHELCBRA</v>
          </cell>
          <cell r="B919" t="str">
            <v>VAR_fout</v>
          </cell>
          <cell r="C919" t="str">
            <v>RHNM-SHELCB</v>
          </cell>
          <cell r="H919">
            <v>1.7899072339462294E-3</v>
          </cell>
          <cell r="I919">
            <v>1.8938764744064588E-3</v>
          </cell>
          <cell r="J919">
            <v>1.6845896133921318E-3</v>
          </cell>
        </row>
        <row r="920">
          <cell r="A920" t="str">
            <v>RHNM-SHELCBRA</v>
          </cell>
          <cell r="B920" t="str">
            <v>VAR_fin</v>
          </cell>
          <cell r="C920" t="str">
            <v>RHNM-SHAELCB</v>
          </cell>
          <cell r="H920">
            <v>1.7899072339462294E-3</v>
          </cell>
          <cell r="I920">
            <v>1.8938764744064588E-3</v>
          </cell>
          <cell r="J920">
            <v>1.6845896133921318E-3</v>
          </cell>
        </row>
        <row r="921">
          <cell r="A921" t="str">
            <v>RHNM-SHELCBRA</v>
          </cell>
          <cell r="B921" t="str">
            <v>VAR_ncap</v>
          </cell>
          <cell r="C921" t="str">
            <v>-</v>
          </cell>
          <cell r="H921">
            <v>3.4406294191618102E-4</v>
          </cell>
        </row>
        <row r="922">
          <cell r="A922" t="str">
            <v>RHNM-SHELCBRA</v>
          </cell>
          <cell r="B922" t="str">
            <v>VAR_cap</v>
          </cell>
          <cell r="C922" t="str">
            <v>-</v>
          </cell>
          <cell r="H922">
            <v>1.5290307590251897E-3</v>
          </cell>
          <cell r="I922">
            <v>3.405192608655599E-4</v>
          </cell>
          <cell r="J922">
            <v>1.4400532167727767E-4</v>
          </cell>
        </row>
        <row r="923">
          <cell r="A923" t="str">
            <v>RHNM-SHSTG-SOL</v>
          </cell>
          <cell r="B923" t="str">
            <v>VAR_fout</v>
          </cell>
          <cell r="C923" t="str">
            <v>AUX_RHNM-SHSTG-SOL_OUT</v>
          </cell>
          <cell r="H923">
            <v>5.3243971458626194E-5</v>
          </cell>
          <cell r="I923">
            <v>2.8355430152852396E-5</v>
          </cell>
          <cell r="J923">
            <v>4.7557696736455164E-5</v>
          </cell>
        </row>
        <row r="924">
          <cell r="A924" t="str">
            <v>RHNM-SHSTG-SOL</v>
          </cell>
          <cell r="B924" t="str">
            <v>VAR_fout</v>
          </cell>
          <cell r="C924" t="str">
            <v>RHNM-SHASOL</v>
          </cell>
          <cell r="H924">
            <v>5.3190780677948262E-5</v>
          </cell>
          <cell r="I924">
            <v>2.8327103049802576E-5</v>
          </cell>
          <cell r="J924">
            <v>4.7510186549905282E-5</v>
          </cell>
        </row>
        <row r="925">
          <cell r="A925" t="str">
            <v>RHNM-SHSTG-SOL</v>
          </cell>
          <cell r="B925" t="str">
            <v>VAR_fin</v>
          </cell>
          <cell r="C925" t="str">
            <v>RHNM-SHASOL</v>
          </cell>
          <cell r="H925">
            <v>5.3255218782275409E-5</v>
          </cell>
          <cell r="I925">
            <v>2.8392257558021553E-5</v>
          </cell>
          <cell r="J925">
            <v>4.7633988630278286E-5</v>
          </cell>
        </row>
        <row r="926">
          <cell r="A926" t="str">
            <v>RHNM-SHSTG-SOL</v>
          </cell>
          <cell r="B926" t="str">
            <v>VAR_ncap</v>
          </cell>
          <cell r="C926" t="str">
            <v>-</v>
          </cell>
          <cell r="H926">
            <v>1.32437216527737E-8</v>
          </cell>
          <cell r="I926">
            <v>3.11281357095567E-6</v>
          </cell>
          <cell r="J926">
            <v>8.8952345401110896E-6</v>
          </cell>
        </row>
        <row r="927">
          <cell r="A927" t="str">
            <v>RHNM-SHSTG-SOL</v>
          </cell>
          <cell r="B927" t="str">
            <v>VAR_cap</v>
          </cell>
          <cell r="C927" t="str">
            <v>-</v>
          </cell>
          <cell r="H927">
            <v>2.5233391740112199E-5</v>
          </cell>
          <cell r="I927">
            <v>6.7635860395349502E-6</v>
          </cell>
          <cell r="J927">
            <v>1.1159909725552E-5</v>
          </cell>
        </row>
        <row r="928">
          <cell r="A928" t="str">
            <v>RHNS-SHELCHP</v>
          </cell>
          <cell r="B928" t="str">
            <v>VAR_fout</v>
          </cell>
          <cell r="C928" t="str">
            <v>RHNS-SHAELCH</v>
          </cell>
          <cell r="H928">
            <v>2.8507963039231115</v>
          </cell>
          <cell r="I928">
            <v>3.3034493601270998</v>
          </cell>
          <cell r="J928">
            <v>3.7610446090738785</v>
          </cell>
        </row>
        <row r="929">
          <cell r="A929" t="str">
            <v>RHNS-SHELCHP</v>
          </cell>
          <cell r="B929" t="str">
            <v>VAR_fin</v>
          </cell>
          <cell r="C929" t="str">
            <v>RHNS_ELC</v>
          </cell>
          <cell r="H929">
            <v>0.74419681494631229</v>
          </cell>
          <cell r="I929">
            <v>0.83908368691000612</v>
          </cell>
          <cell r="J929">
            <v>0.90027249604407777</v>
          </cell>
        </row>
        <row r="930">
          <cell r="A930" t="str">
            <v>RHNS-SHELCHP</v>
          </cell>
          <cell r="B930" t="str">
            <v>VAR_fin</v>
          </cell>
          <cell r="C930" t="str">
            <v>RHNSELCHPC</v>
          </cell>
          <cell r="H930">
            <v>2.8507963039231115</v>
          </cell>
          <cell r="I930">
            <v>3.3034493601270998</v>
          </cell>
          <cell r="J930">
            <v>3.7610446090738785</v>
          </cell>
        </row>
        <row r="931">
          <cell r="A931" t="str">
            <v>RHNS-SHELCHP</v>
          </cell>
          <cell r="B931" t="str">
            <v>VAR_ncap</v>
          </cell>
          <cell r="C931" t="str">
            <v>-</v>
          </cell>
          <cell r="H931">
            <v>7.87500395312343E-2</v>
          </cell>
          <cell r="I931">
            <v>0.11302497626793701</v>
          </cell>
          <cell r="J931">
            <v>0.15864711553373601</v>
          </cell>
        </row>
        <row r="932">
          <cell r="A932" t="str">
            <v>RHNS-SHELCHP</v>
          </cell>
          <cell r="B932" t="str">
            <v>VAR_cap</v>
          </cell>
          <cell r="C932" t="str">
            <v>-</v>
          </cell>
          <cell r="H932">
            <v>0.20767679827324445</v>
          </cell>
          <cell r="I932">
            <v>0.24064994874359924</v>
          </cell>
          <cell r="J932">
            <v>0.27398396879181847</v>
          </cell>
        </row>
        <row r="933">
          <cell r="A933" t="str">
            <v>SCOM-SHBIOBR</v>
          </cell>
          <cell r="B933" t="str">
            <v>VAR_fout</v>
          </cell>
          <cell r="C933" t="str">
            <v>SCOM-SHBIO</v>
          </cell>
        </row>
        <row r="934">
          <cell r="A934" t="str">
            <v>SCOM-SHBIOBR</v>
          </cell>
          <cell r="B934" t="str">
            <v>VAR_fin</v>
          </cell>
          <cell r="C934" t="str">
            <v>SBIO</v>
          </cell>
        </row>
        <row r="935">
          <cell r="A935" t="str">
            <v>SCOM-SHBIOBR</v>
          </cell>
          <cell r="B935" t="str">
            <v>VAR_ncap</v>
          </cell>
          <cell r="C935" t="str">
            <v>-</v>
          </cell>
          <cell r="H935">
            <v>5.9558143849471496E-7</v>
          </cell>
          <cell r="I935">
            <v>3.4993331425673802E-6</v>
          </cell>
          <cell r="J935">
            <v>1.91628962189283E-6</v>
          </cell>
        </row>
        <row r="936">
          <cell r="A936" t="str">
            <v>SCOM-SHBIOBR</v>
          </cell>
          <cell r="B936" t="str">
            <v>VAR_cap</v>
          </cell>
          <cell r="C936" t="str">
            <v>-</v>
          </cell>
          <cell r="H936">
            <v>2.7308259765953601E-2</v>
          </cell>
          <cell r="I936">
            <v>4.0634356578738856E-6</v>
          </cell>
          <cell r="J936">
            <v>4.6081032557878512E-6</v>
          </cell>
        </row>
        <row r="937">
          <cell r="A937" t="str">
            <v>RHES-SHDEM</v>
          </cell>
          <cell r="B937" t="str">
            <v>VAR_fout</v>
          </cell>
          <cell r="C937" t="str">
            <v>RHES-SHD</v>
          </cell>
          <cell r="H937">
            <v>53.731633148688282</v>
          </cell>
          <cell r="I937">
            <v>53.128185561299965</v>
          </cell>
          <cell r="J937">
            <v>52.421287954070173</v>
          </cell>
        </row>
        <row r="938">
          <cell r="A938" t="str">
            <v>RHES-SHDEM</v>
          </cell>
          <cell r="B938" t="str">
            <v>VAR_fin</v>
          </cell>
          <cell r="C938" t="str">
            <v>RHES-SHPLT</v>
          </cell>
          <cell r="H938">
            <v>7.9089124625197238E-2</v>
          </cell>
          <cell r="I938">
            <v>8.6285220031551924E-2</v>
          </cell>
          <cell r="J938">
            <v>7.6483856463190503E-2</v>
          </cell>
        </row>
        <row r="939">
          <cell r="A939" t="str">
            <v>RHES-SHDEM</v>
          </cell>
          <cell r="B939" t="str">
            <v>VAR_fin</v>
          </cell>
          <cell r="C939" t="str">
            <v>RHES-SHLTHC-NGA</v>
          </cell>
        </row>
        <row r="940">
          <cell r="A940" t="str">
            <v>RHES-SHDEM</v>
          </cell>
          <cell r="B940" t="str">
            <v>VAR_fin</v>
          </cell>
          <cell r="C940" t="str">
            <v>RHES-SHSOL</v>
          </cell>
          <cell r="H940">
            <v>2.7282829616240092E-2</v>
          </cell>
          <cell r="I940">
            <v>2.8116523505193454E-2</v>
          </cell>
          <cell r="J940">
            <v>2.7977478625015949E-2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RHES-SHLTHC-WOD</v>
          </cell>
        </row>
        <row r="942">
          <cell r="A942" t="str">
            <v>RHES-SHDEM</v>
          </cell>
          <cell r="B942" t="str">
            <v>VAR_fin</v>
          </cell>
          <cell r="C942" t="str">
            <v>RHES-SHNGA</v>
          </cell>
          <cell r="H942">
            <v>4.6274288149196439</v>
          </cell>
          <cell r="I942">
            <v>2.1509609047737923</v>
          </cell>
          <cell r="J942">
            <v>0.87503965896976399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RHES-SHNGAH</v>
          </cell>
          <cell r="H943">
            <v>1.3669702158491632</v>
          </cell>
          <cell r="I943">
            <v>1.2928827602420165</v>
          </cell>
          <cell r="J943">
            <v>1.0504129527352808</v>
          </cell>
        </row>
        <row r="944">
          <cell r="A944" t="str">
            <v>RHES-SHDEM</v>
          </cell>
          <cell r="B944" t="str">
            <v>VAR_fin</v>
          </cell>
          <cell r="C944" t="str">
            <v>RHES-SHCOA</v>
          </cell>
        </row>
        <row r="945">
          <cell r="A945" t="str">
            <v>RHES-SHDEM</v>
          </cell>
          <cell r="B945" t="str">
            <v>VAR_fin</v>
          </cell>
          <cell r="C945" t="str">
            <v>RHES-SHLFO</v>
          </cell>
          <cell r="H945">
            <v>3.9316319824797596</v>
          </cell>
          <cell r="I945">
            <v>1.2627142018432496</v>
          </cell>
          <cell r="J945">
            <v>0.13472947336937119</v>
          </cell>
        </row>
        <row r="946">
          <cell r="A946" t="str">
            <v>RHES-SHDEM</v>
          </cell>
          <cell r="B946" t="str">
            <v>VAR_fin</v>
          </cell>
          <cell r="C946" t="str">
            <v>RHES-SHCON</v>
          </cell>
          <cell r="H946">
            <v>6.6820026554642453</v>
          </cell>
          <cell r="I946">
            <v>8.7407651483737343</v>
          </cell>
          <cell r="J946">
            <v>12.634835277611097</v>
          </cell>
        </row>
        <row r="947">
          <cell r="A947" t="str">
            <v>RHES-SHDEM</v>
          </cell>
          <cell r="B947" t="str">
            <v>VAR_fin</v>
          </cell>
          <cell r="C947" t="str">
            <v>RHES-SHWOD</v>
          </cell>
          <cell r="H947">
            <v>3.5341453879075191</v>
          </cell>
          <cell r="I947">
            <v>2.8064820718429835</v>
          </cell>
          <cell r="J947">
            <v>1.5418114796573472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RHES-SHLTHD</v>
          </cell>
          <cell r="H948">
            <v>1.9327858978433146</v>
          </cell>
          <cell r="I948">
            <v>2.068817202233157</v>
          </cell>
          <cell r="J948">
            <v>1.9750224155982921</v>
          </cell>
        </row>
        <row r="949">
          <cell r="A949" t="str">
            <v>RHES-SHDEM</v>
          </cell>
          <cell r="B949" t="str">
            <v>VAR_fin</v>
          </cell>
          <cell r="C949" t="str">
            <v>RHES-SHELCB</v>
          </cell>
          <cell r="H949">
            <v>1.2167393272998452E-2</v>
          </cell>
          <cell r="I949">
            <v>2.1826511092043898E-3</v>
          </cell>
          <cell r="J949">
            <v>6.131185323274709E-4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RHES-SHELCH</v>
          </cell>
          <cell r="H950">
            <v>31.538139046220834</v>
          </cell>
          <cell r="I950">
            <v>34.688986303475126</v>
          </cell>
          <cell r="J950">
            <v>34.104368320796304</v>
          </cell>
        </row>
        <row r="951">
          <cell r="A951" t="str">
            <v>RHES-SHDEM</v>
          </cell>
          <cell r="B951" t="str">
            <v>VAR_fin</v>
          </cell>
          <cell r="C951" t="str">
            <v>RHES-SHNST</v>
          </cell>
        </row>
        <row r="952">
          <cell r="A952" t="str">
            <v>D-RHEM_LTH_CHPNGA</v>
          </cell>
          <cell r="B952" t="str">
            <v>VAR_fout</v>
          </cell>
          <cell r="C952" t="str">
            <v>RHSA_LTH</v>
          </cell>
          <cell r="H952">
            <v>0.35095953630964466</v>
          </cell>
          <cell r="I952">
            <v>0.14665989372525162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RHEM_LTH_CHPNGA_ON</v>
          </cell>
          <cell r="H953">
            <v>0.15452206659847539</v>
          </cell>
          <cell r="I953">
            <v>7.3085893638213772E-2</v>
          </cell>
        </row>
        <row r="954">
          <cell r="A954" t="str">
            <v>D-RHEM_LTH_CHPNGA</v>
          </cell>
          <cell r="B954" t="str">
            <v>VAR_fout</v>
          </cell>
          <cell r="C954" t="str">
            <v>LTH</v>
          </cell>
          <cell r="H954">
            <v>9.8167871795491345E-5</v>
          </cell>
          <cell r="I954">
            <v>8.5902622718523711E-5</v>
          </cell>
        </row>
        <row r="955">
          <cell r="A955" t="str">
            <v>D-RHEM_LTH_CHPNGA</v>
          </cell>
          <cell r="B955" t="str">
            <v>VAR_fin</v>
          </cell>
          <cell r="C955" t="str">
            <v>RHEM_LTH_CHPNGA</v>
          </cell>
          <cell r="H955">
            <v>0.50557977077991545</v>
          </cell>
          <cell r="I955">
            <v>0.21983171597987927</v>
          </cell>
        </row>
        <row r="956">
          <cell r="A956" t="str">
            <v>RHEM-SHLTHCHPNGA</v>
          </cell>
          <cell r="B956" t="str">
            <v>VAR_fout</v>
          </cell>
          <cell r="C956" t="str">
            <v>RHEM-SHLTHC-NGA</v>
          </cell>
        </row>
        <row r="957">
          <cell r="A957" t="str">
            <v>RHEM-SHLTHCHPNGA</v>
          </cell>
          <cell r="B957" t="str">
            <v>VAR_fin</v>
          </cell>
          <cell r="C957" t="str">
            <v>RHEM_LTH_CHPNGA_ON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RHEMLTHCHPC</v>
          </cell>
        </row>
        <row r="959">
          <cell r="A959" t="str">
            <v>RHEM-SHLTHCHPNGA</v>
          </cell>
          <cell r="B959" t="str">
            <v>VAR_ncap</v>
          </cell>
          <cell r="C959" t="str">
            <v>-</v>
          </cell>
          <cell r="H959">
            <v>5.6361725294129597E-3</v>
          </cell>
          <cell r="I959">
            <v>1.8358729444866099E-3</v>
          </cell>
        </row>
        <row r="960">
          <cell r="A960" t="str">
            <v>RHEM-SHLTHCHPNGA</v>
          </cell>
          <cell r="B960" t="str">
            <v>VAR_cap</v>
          </cell>
          <cell r="C960" t="str">
            <v>-</v>
          </cell>
          <cell r="H960">
            <v>1.6816688279836577E-2</v>
          </cell>
          <cell r="I960">
            <v>7.6167841899826404E-3</v>
          </cell>
          <cell r="J960">
            <v>-3.3928779013744914E-10</v>
          </cell>
        </row>
        <row r="961">
          <cell r="A961" t="str">
            <v>D-RHES_SOLELC</v>
          </cell>
          <cell r="B961" t="str">
            <v>VAR_fout</v>
          </cell>
          <cell r="C961" t="str">
            <v>RHES_ELC</v>
          </cell>
          <cell r="H961">
            <v>4.6109402541807798</v>
          </cell>
          <cell r="I961">
            <v>4.894362460718261</v>
          </cell>
          <cell r="J961">
            <v>5.514477492744378</v>
          </cell>
        </row>
        <row r="962">
          <cell r="A962" t="str">
            <v>D-RHES_SOLELC</v>
          </cell>
          <cell r="B962" t="str">
            <v>VAR_fout</v>
          </cell>
          <cell r="C962" t="str">
            <v>ELC5</v>
          </cell>
          <cell r="H962">
            <v>1.0441065629131666E-4</v>
          </cell>
          <cell r="I962">
            <v>7.9019187495436952E-5</v>
          </cell>
          <cell r="J962">
            <v>4.6158837212522109E-5</v>
          </cell>
        </row>
        <row r="963">
          <cell r="A963" t="str">
            <v>D-RHES_SOLELC</v>
          </cell>
          <cell r="B963" t="str">
            <v>VAR_fin</v>
          </cell>
          <cell r="C963" t="str">
            <v>RHES_SOL_ELC</v>
          </cell>
          <cell r="H963">
            <v>4.6110446648370687</v>
          </cell>
          <cell r="I963">
            <v>4.894441479905753</v>
          </cell>
          <cell r="J963">
            <v>5.5145236515815963</v>
          </cell>
        </row>
        <row r="964">
          <cell r="A964" t="str">
            <v>D-DH2</v>
          </cell>
          <cell r="B964" t="str">
            <v>VAR_fout</v>
          </cell>
          <cell r="C964" t="str">
            <v>H2</v>
          </cell>
          <cell r="H964">
            <v>8.0463319963108416E-6</v>
          </cell>
          <cell r="I964">
            <v>1.1595052525347413</v>
          </cell>
          <cell r="J964">
            <v>1.2268314935067954</v>
          </cell>
        </row>
        <row r="965">
          <cell r="A965" t="str">
            <v>D-DH2</v>
          </cell>
          <cell r="B965" t="str">
            <v>VAR_fin</v>
          </cell>
          <cell r="C965" t="str">
            <v>H2_E</v>
          </cell>
          <cell r="H965">
            <v>8.127608077081667E-6</v>
          </cell>
          <cell r="I965">
            <v>1.1712174268027695</v>
          </cell>
          <cell r="J965">
            <v>1.2392237308149443</v>
          </cell>
        </row>
        <row r="966">
          <cell r="A966" t="str">
            <v>D-DH2</v>
          </cell>
          <cell r="B966" t="str">
            <v>VAR_ncap</v>
          </cell>
          <cell r="C966" t="str">
            <v>-</v>
          </cell>
          <cell r="H966">
            <v>4.5963758003792404E-6</v>
          </cell>
          <cell r="I966">
            <v>0.15570512629115399</v>
          </cell>
          <cell r="J966">
            <v>9.0410446234199596E-3</v>
          </cell>
        </row>
        <row r="967">
          <cell r="A967" t="str">
            <v>D-DH2</v>
          </cell>
          <cell r="B967" t="str">
            <v>VAR_cap</v>
          </cell>
          <cell r="C967" t="str">
            <v>-</v>
          </cell>
          <cell r="H967">
            <v>8.2655662186432099E-6</v>
          </cell>
          <cell r="I967">
            <v>0.15571339185737201</v>
          </cell>
          <cell r="J967">
            <v>0.16475443648079199</v>
          </cell>
        </row>
        <row r="968">
          <cell r="A968" t="str">
            <v>ITOT-SWHHFOBR</v>
          </cell>
          <cell r="B968" t="str">
            <v>VAR_fout</v>
          </cell>
          <cell r="C968" t="str">
            <v>ITOT-SWH</v>
          </cell>
          <cell r="H968">
            <v>7.3281875805198077E-5</v>
          </cell>
          <cell r="I968">
            <v>2.692021434526203E-4</v>
          </cell>
        </row>
        <row r="969">
          <cell r="A969" t="str">
            <v>ITOT-SWHHFOBR</v>
          </cell>
          <cell r="B969" t="str">
            <v>VAR_fout</v>
          </cell>
          <cell r="C969" t="str">
            <v>CO2_I</v>
          </cell>
          <cell r="H969">
            <v>8.0833799795867103E-3</v>
          </cell>
          <cell r="I969">
            <v>2.93865887589605E-2</v>
          </cell>
        </row>
        <row r="970">
          <cell r="A970" t="str">
            <v>ITOT-SWHHFOBR</v>
          </cell>
          <cell r="B970" t="str">
            <v>VAR_fin</v>
          </cell>
          <cell r="C970" t="str">
            <v>IHFO</v>
          </cell>
          <cell r="H970">
            <v>1.0497896077385347E-4</v>
          </cell>
          <cell r="I970">
            <v>3.8164400985663037E-4</v>
          </cell>
        </row>
        <row r="971">
          <cell r="A971" t="str">
            <v>ITOT-SWHHFOBR</v>
          </cell>
          <cell r="B971" t="str">
            <v>VAR_ncap</v>
          </cell>
          <cell r="C971" t="str">
            <v>-</v>
          </cell>
          <cell r="H971">
            <v>5.4607257791668499E-6</v>
          </cell>
          <cell r="I971">
            <v>1.9842889347527501E-5</v>
          </cell>
          <cell r="J971">
            <v>2.7412671992629401E-8</v>
          </cell>
        </row>
        <row r="972">
          <cell r="A972" t="str">
            <v>ITOT-SWHHFOBR</v>
          </cell>
          <cell r="B972" t="str">
            <v>VAR_cap</v>
          </cell>
          <cell r="C972" t="str">
            <v>-</v>
          </cell>
          <cell r="H972">
            <v>6.9454987187619888E-6</v>
          </cell>
          <cell r="I972">
            <v>2.5194744644897267E-5</v>
          </cell>
          <cell r="J972">
            <v>-4.9372982245999056E-8</v>
          </cell>
        </row>
        <row r="973">
          <cell r="A973" t="str">
            <v>RHSA-WHSTG-ELCHP</v>
          </cell>
          <cell r="B973" t="str">
            <v>VAR_fout</v>
          </cell>
          <cell r="C973" t="str">
            <v>AUX_RHSA-WHSTG-ELCHP_OUT</v>
          </cell>
          <cell r="H973">
            <v>2.3391141215313458</v>
          </cell>
          <cell r="I973">
            <v>2.9532946719591275</v>
          </cell>
          <cell r="J973">
            <v>2.9981551910123327</v>
          </cell>
        </row>
        <row r="974">
          <cell r="A974" t="str">
            <v>RHSA-WHSTG-ELCHP</v>
          </cell>
          <cell r="B974" t="str">
            <v>VAR_fout</v>
          </cell>
          <cell r="C974" t="str">
            <v>RHSA-WHAELCH</v>
          </cell>
          <cell r="H974">
            <v>2.3367773441871593</v>
          </cell>
          <cell r="I974">
            <v>2.950344327631496</v>
          </cell>
          <cell r="J974">
            <v>2.9951600309813529</v>
          </cell>
        </row>
        <row r="975">
          <cell r="A975" t="str">
            <v>RHSA-WHSTG-ELCHP</v>
          </cell>
          <cell r="B975" t="str">
            <v>VAR_fin</v>
          </cell>
          <cell r="C975" t="str">
            <v>RHSA-WHAELCH</v>
          </cell>
          <cell r="H975">
            <v>2.3367773663651334</v>
          </cell>
          <cell r="I975">
            <v>2.9503443676908554</v>
          </cell>
          <cell r="J975">
            <v>2.9951600674695884</v>
          </cell>
        </row>
        <row r="976">
          <cell r="A976" t="str">
            <v>RHSA-WHSTG-ELCHP</v>
          </cell>
          <cell r="B976" t="str">
            <v>VAR_ncap</v>
          </cell>
          <cell r="C976" t="str">
            <v>-</v>
          </cell>
          <cell r="H976">
            <v>0.100749757977435</v>
          </cell>
          <cell r="I976">
            <v>0.10894976287135399</v>
          </cell>
          <cell r="J976">
            <v>0.19004374495312301</v>
          </cell>
        </row>
        <row r="977">
          <cell r="A977" t="str">
            <v>RHSA-WHSTG-ELCHP</v>
          </cell>
          <cell r="B977" t="str">
            <v>VAR_cap</v>
          </cell>
          <cell r="C977" t="str">
            <v>-</v>
          </cell>
          <cell r="H977">
            <v>0.20559203623329958</v>
          </cell>
          <cell r="I977">
            <v>0.26043798258278161</v>
          </cell>
          <cell r="J977">
            <v>0.31172346370983628</v>
          </cell>
        </row>
        <row r="978">
          <cell r="A978" t="str">
            <v>RES-ELCSPECADV</v>
          </cell>
          <cell r="B978" t="str">
            <v>VAR_fout</v>
          </cell>
          <cell r="C978" t="str">
            <v>RHSA-ELS</v>
          </cell>
          <cell r="H978">
            <v>14.754609382212518</v>
          </cell>
          <cell r="I978">
            <v>19.870251331709845</v>
          </cell>
          <cell r="J978">
            <v>30.302737870709468</v>
          </cell>
        </row>
        <row r="979">
          <cell r="A979" t="str">
            <v>RES-ELCSPECADV</v>
          </cell>
          <cell r="B979" t="str">
            <v>VAR_fin</v>
          </cell>
          <cell r="C979" t="str">
            <v>RHSA_ELC</v>
          </cell>
          <cell r="H979">
            <v>9.8364062548083435</v>
          </cell>
          <cell r="I979">
            <v>13.246834221139896</v>
          </cell>
          <cell r="J979">
            <v>20.201825247139652</v>
          </cell>
        </row>
        <row r="980">
          <cell r="A980" t="str">
            <v>RES-ELCSPECADV</v>
          </cell>
          <cell r="B980" t="str">
            <v>VAR_ncap</v>
          </cell>
          <cell r="C980" t="str">
            <v>-</v>
          </cell>
          <cell r="H980">
            <v>0.57688461369122301</v>
          </cell>
          <cell r="I980">
            <v>0.54071983628002696</v>
          </cell>
          <cell r="J980">
            <v>1.4438934590606001</v>
          </cell>
        </row>
        <row r="981">
          <cell r="A981" t="str">
            <v>RES-ELCSPECADV</v>
          </cell>
          <cell r="B981" t="str">
            <v>VAR_cap</v>
          </cell>
          <cell r="C981" t="str">
            <v>-</v>
          </cell>
          <cell r="H981">
            <v>1.5595520047774731</v>
          </cell>
          <cell r="I981">
            <v>2.1002718040034427</v>
          </cell>
          <cell r="J981">
            <v>3.2029783849263223</v>
          </cell>
        </row>
        <row r="982">
          <cell r="A982" t="str">
            <v>ITOT-SWHSTG-ELCHP</v>
          </cell>
          <cell r="B982" t="str">
            <v>VAR_fout</v>
          </cell>
          <cell r="C982" t="str">
            <v>ITOT-SWHAELCH</v>
          </cell>
          <cell r="H982">
            <v>1.5421513067639828E-4</v>
          </cell>
          <cell r="I982">
            <v>5.5284429443525648E-4</v>
          </cell>
          <cell r="J982">
            <v>5.3437636488741724E-2</v>
          </cell>
        </row>
        <row r="983">
          <cell r="A983" t="str">
            <v>ITOT-SWHSTG-ELCHP</v>
          </cell>
          <cell r="B983" t="str">
            <v>VAR_fin</v>
          </cell>
          <cell r="C983" t="str">
            <v>ITOT-SWHAELCH</v>
          </cell>
          <cell r="H983">
            <v>1.9714404409809554E-4</v>
          </cell>
          <cell r="I983">
            <v>6.6323148350584823E-4</v>
          </cell>
          <cell r="J983">
            <v>5.9385760998898113E-2</v>
          </cell>
        </row>
        <row r="984">
          <cell r="A984" t="str">
            <v>ITOT-SWHSTG-ELCHP</v>
          </cell>
          <cell r="B984" t="str">
            <v>VAR_ncap</v>
          </cell>
          <cell r="C984" t="str">
            <v>-</v>
          </cell>
          <cell r="H984">
            <v>1.7843988388835001E-2</v>
          </cell>
          <cell r="I984">
            <v>3.0030229314228201E-2</v>
          </cell>
          <cell r="J984">
            <v>8.3960753808325003E-2</v>
          </cell>
        </row>
        <row r="985">
          <cell r="A985" t="str">
            <v>ITOT-SWHSTG-ELCHP</v>
          </cell>
          <cell r="B985" t="str">
            <v>VAR_cap</v>
          </cell>
          <cell r="C985" t="str">
            <v>-</v>
          </cell>
          <cell r="H985">
            <v>8.5019368114866808E-2</v>
          </cell>
          <cell r="I985">
            <v>8.6628587516846822E-2</v>
          </cell>
          <cell r="J985">
            <v>0.11329703944843576</v>
          </cell>
        </row>
        <row r="986">
          <cell r="A986" t="str">
            <v>D-RHNS_LTH_CHPWOD</v>
          </cell>
          <cell r="B986" t="str">
            <v>VAR_fout</v>
          </cell>
          <cell r="C986" t="str">
            <v>RHNS_LTH_CHPWOD_ON</v>
          </cell>
          <cell r="I986">
            <v>1.0763274340788635E-4</v>
          </cell>
        </row>
        <row r="987">
          <cell r="A987" t="str">
            <v>D-RHNS_LTH_CHPWOD</v>
          </cell>
          <cell r="B987" t="str">
            <v>VAR_fout</v>
          </cell>
          <cell r="C987" t="str">
            <v>RHSA_LTH</v>
          </cell>
          <cell r="H987">
            <v>5.2825382877083593E-4</v>
          </cell>
          <cell r="I987">
            <v>5.1500938619459212E-4</v>
          </cell>
          <cell r="J987">
            <v>2.4059693335555608E-4</v>
          </cell>
        </row>
        <row r="988">
          <cell r="A988" t="str">
            <v>D-RHNS_LTH_CHPWOD</v>
          </cell>
          <cell r="B988" t="str">
            <v>VAR_fout</v>
          </cell>
          <cell r="C988" t="str">
            <v>LTH</v>
          </cell>
          <cell r="I988">
            <v>1.2905746487673919E-7</v>
          </cell>
        </row>
        <row r="989">
          <cell r="A989" t="str">
            <v>D-RHNS_LTH_CHPWOD</v>
          </cell>
          <cell r="B989" t="str">
            <v>VAR_fin</v>
          </cell>
          <cell r="C989" t="str">
            <v>RHNS_LTH_CHPWOD</v>
          </cell>
          <cell r="H989">
            <v>5.2875035203298656E-4</v>
          </cell>
          <cell r="I989">
            <v>6.2342030660685803E-4</v>
          </cell>
          <cell r="J989">
            <v>2.4104932469977498E-4</v>
          </cell>
        </row>
        <row r="990">
          <cell r="A990" t="str">
            <v>D-SBIO</v>
          </cell>
          <cell r="B990" t="str">
            <v>VAR_fout</v>
          </cell>
          <cell r="C990" t="str">
            <v>SBIO</v>
          </cell>
          <cell r="H990">
            <v>2.99014183268867</v>
          </cell>
          <cell r="I990">
            <v>2.9494210146540087</v>
          </cell>
          <cell r="J990">
            <v>2.8712114411392293</v>
          </cell>
        </row>
        <row r="991">
          <cell r="A991" t="str">
            <v>D-SBIO</v>
          </cell>
          <cell r="B991" t="str">
            <v>VAR_fin</v>
          </cell>
          <cell r="C991" t="str">
            <v>BIO</v>
          </cell>
          <cell r="H991">
            <v>2.99014183268867</v>
          </cell>
          <cell r="I991">
            <v>2.9494210146540087</v>
          </cell>
          <cell r="J991">
            <v>2.8712114411392293</v>
          </cell>
        </row>
        <row r="992">
          <cell r="A992" t="str">
            <v>RHEM-SHDEM</v>
          </cell>
          <cell r="B992" t="str">
            <v>VAR_fout</v>
          </cell>
          <cell r="C992" t="str">
            <v>RHEM-SHD</v>
          </cell>
          <cell r="H992">
            <v>62.097733930554917</v>
          </cell>
          <cell r="I992">
            <v>60.870983277647731</v>
          </cell>
          <cell r="J992">
            <v>59.287657096376932</v>
          </cell>
        </row>
        <row r="993">
          <cell r="A993" t="str">
            <v>RHEM-SHDEM</v>
          </cell>
          <cell r="B993" t="str">
            <v>VAR_fin</v>
          </cell>
          <cell r="C993" t="str">
            <v>RHEM-SHNST</v>
          </cell>
        </row>
        <row r="994">
          <cell r="A994" t="str">
            <v>RHEM-SHDEM</v>
          </cell>
          <cell r="B994" t="str">
            <v>VAR_fin</v>
          </cell>
          <cell r="C994" t="str">
            <v>RHEM-SHPLT</v>
          </cell>
          <cell r="H994">
            <v>0.52086942284694193</v>
          </cell>
          <cell r="I994">
            <v>0.54587862561167233</v>
          </cell>
          <cell r="J994">
            <v>0.44442972730644786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RHEM-SHNGAH</v>
          </cell>
          <cell r="H995">
            <v>3.8681424149800709</v>
          </cell>
          <cell r="I995">
            <v>4.7847824810787287</v>
          </cell>
          <cell r="J995">
            <v>4.2669828853255716</v>
          </cell>
        </row>
        <row r="996">
          <cell r="A996" t="str">
            <v>RHEM-SHDEM</v>
          </cell>
          <cell r="B996" t="str">
            <v>VAR_fin</v>
          </cell>
          <cell r="C996" t="str">
            <v>RHEM-SHLTHC-WOD</v>
          </cell>
        </row>
        <row r="997">
          <cell r="A997" t="str">
            <v>RHEM-SHDEM</v>
          </cell>
          <cell r="B997" t="str">
            <v>VAR_fin</v>
          </cell>
          <cell r="C997" t="str">
            <v>RHEM-SHSOL</v>
          </cell>
          <cell r="H997">
            <v>1.3871045540906951E-2</v>
          </cell>
          <cell r="I997">
            <v>1.5188178630456373E-2</v>
          </cell>
          <cell r="J997">
            <v>1.477663653819138E-2</v>
          </cell>
        </row>
        <row r="998">
          <cell r="A998" t="str">
            <v>RHEM-SHDEM</v>
          </cell>
          <cell r="B998" t="str">
            <v>VAR_fin</v>
          </cell>
          <cell r="C998" t="str">
            <v>RHEM-SHLTHD</v>
          </cell>
          <cell r="H998">
            <v>5.3614974003858489</v>
          </cell>
          <cell r="I998">
            <v>5.5997351171131022</v>
          </cell>
          <cell r="J998">
            <v>5.1599987700196452</v>
          </cell>
        </row>
        <row r="999">
          <cell r="A999" t="str">
            <v>RHEM-SHDEM</v>
          </cell>
          <cell r="B999" t="str">
            <v>VAR_fin</v>
          </cell>
          <cell r="C999" t="str">
            <v>RHEM-SHNGA</v>
          </cell>
          <cell r="H999">
            <v>8.7756374151518379</v>
          </cell>
          <cell r="I999">
            <v>3.1991116507415938</v>
          </cell>
          <cell r="J999">
            <v>1.0294732276803094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RHEM-SHELCB</v>
          </cell>
          <cell r="H1000">
            <v>3.9104222436288638E-3</v>
          </cell>
          <cell r="I1000">
            <v>3.2676423901764748E-3</v>
          </cell>
          <cell r="J1000">
            <v>2.6050985390478672E-3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RHEM-SHELCH</v>
          </cell>
          <cell r="H1001">
            <v>24.214478337328138</v>
          </cell>
          <cell r="I1001">
            <v>29.622387159243093</v>
          </cell>
          <cell r="J1001">
            <v>30.030684320417251</v>
          </cell>
        </row>
        <row r="1002">
          <cell r="A1002" t="str">
            <v>RHEM-SHDEM</v>
          </cell>
          <cell r="B1002" t="str">
            <v>VAR_fin</v>
          </cell>
          <cell r="C1002" t="str">
            <v>RHEM-SHLFO</v>
          </cell>
          <cell r="H1002">
            <v>6.6437924890714601</v>
          </cell>
          <cell r="I1002">
            <v>2.4119915360363002</v>
          </cell>
          <cell r="J1002">
            <v>0.26158618306750286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RHEM-SHCON</v>
          </cell>
          <cell r="H1003">
            <v>8.4135373411267818</v>
          </cell>
          <cell r="I1003">
            <v>10.954722716747519</v>
          </cell>
          <cell r="J1003">
            <v>15.738683222803456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RHEM-SHWOD</v>
          </cell>
          <cell r="H1004">
            <v>4.2820089284067064</v>
          </cell>
          <cell r="I1004">
            <v>3.7339260783652439</v>
          </cell>
          <cell r="J1004">
            <v>2.3384433047134414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RHEM-SHLTHC-NGA</v>
          </cell>
        </row>
        <row r="1006">
          <cell r="A1006" t="str">
            <v>ITOT-SWHH2BR</v>
          </cell>
          <cell r="B1006" t="str">
            <v>VAR_fout</v>
          </cell>
          <cell r="C1006" t="str">
            <v>ITOT-SWH</v>
          </cell>
          <cell r="H1006">
            <v>7.0243104818070101</v>
          </cell>
          <cell r="I1006">
            <v>7.0243117906514296</v>
          </cell>
          <cell r="J1006">
            <v>7.381578640427179</v>
          </cell>
        </row>
        <row r="1007">
          <cell r="A1007" t="str">
            <v>ITOT-SWHH2BR</v>
          </cell>
          <cell r="B1007" t="str">
            <v>VAR_fin</v>
          </cell>
          <cell r="C1007" t="str">
            <v>IH2</v>
          </cell>
          <cell r="H1007">
            <v>8.7067627307938515</v>
          </cell>
          <cell r="I1007">
            <v>8.6877946789494782</v>
          </cell>
          <cell r="J1007">
            <v>9.0900591810226352</v>
          </cell>
        </row>
        <row r="1008">
          <cell r="A1008" t="str">
            <v>ITOT-SWHH2BR</v>
          </cell>
          <cell r="B1008" t="str">
            <v>VAR_ncap</v>
          </cell>
          <cell r="C1008" t="str">
            <v>-</v>
          </cell>
          <cell r="H1008">
            <v>0.58126870954996901</v>
          </cell>
          <cell r="I1008">
            <v>5.2651453917396097E-2</v>
          </cell>
          <cell r="J1008">
            <v>0.35721414696327802</v>
          </cell>
        </row>
        <row r="1009">
          <cell r="A1009" t="str">
            <v>ITOT-SWHH2BR</v>
          </cell>
          <cell r="B1009" t="str">
            <v>VAR_cap</v>
          </cell>
          <cell r="C1009" t="str">
            <v>-</v>
          </cell>
          <cell r="H1009">
            <v>0.58239526757710181</v>
          </cell>
          <cell r="I1009">
            <v>0.63468804615490748</v>
          </cell>
          <cell r="J1009">
            <v>0.64129743510086157</v>
          </cell>
        </row>
        <row r="1010">
          <cell r="A1010" t="str">
            <v>RHNS-SHSTG-ELC</v>
          </cell>
          <cell r="B1010" t="str">
            <v>VAR_fout</v>
          </cell>
          <cell r="C1010" t="str">
            <v>RHNS-SHAELCB</v>
          </cell>
          <cell r="H1010">
            <v>1.4427325440237093E-3</v>
          </cell>
          <cell r="I1010">
            <v>1.7884627573899058E-3</v>
          </cell>
          <cell r="J1010">
            <v>1.132879441413729E-3</v>
          </cell>
        </row>
        <row r="1011">
          <cell r="A1011" t="str">
            <v>RHNS-SHSTG-ELC</v>
          </cell>
          <cell r="B1011" t="str">
            <v>VAR_fout</v>
          </cell>
          <cell r="C1011" t="str">
            <v>AUX_RHNS-SHSTG-ELC_OUT</v>
          </cell>
          <cell r="H1011">
            <v>1.4441752765677321E-3</v>
          </cell>
          <cell r="I1011">
            <v>1.7902512201472963E-3</v>
          </cell>
          <cell r="J1011">
            <v>1.1340123208551426E-3</v>
          </cell>
        </row>
        <row r="1012">
          <cell r="A1012" t="str">
            <v>RHNS-SHSTG-ELC</v>
          </cell>
          <cell r="B1012" t="str">
            <v>VAR_fin</v>
          </cell>
          <cell r="C1012" t="str">
            <v>RHNS-SHAELCB</v>
          </cell>
          <cell r="H1012">
            <v>1.4426831681828242E-3</v>
          </cell>
          <cell r="I1012">
            <v>1.7884539957151357E-3</v>
          </cell>
          <cell r="J1012">
            <v>1.1328726303185981E-3</v>
          </cell>
        </row>
        <row r="1013">
          <cell r="A1013" t="str">
            <v>RHNS-SHSTG-ELC</v>
          </cell>
          <cell r="B1013" t="str">
            <v>VAR_ncap</v>
          </cell>
          <cell r="C1013" t="str">
            <v>-</v>
          </cell>
          <cell r="H1013">
            <v>6.0607444671854603E-6</v>
          </cell>
          <cell r="I1013">
            <v>1.5433409120569499E-4</v>
          </cell>
          <cell r="J1013">
            <v>9.7417178265889008E-6</v>
          </cell>
        </row>
        <row r="1014">
          <cell r="A1014" t="str">
            <v>RHNS-SHSTG-ELC</v>
          </cell>
          <cell r="B1014" t="str">
            <v>VAR_cap</v>
          </cell>
          <cell r="C1014" t="str">
            <v>-</v>
          </cell>
          <cell r="H1014">
            <v>7.4315542231036941E-4</v>
          </cell>
          <cell r="I1014">
            <v>2.8709296996496303E-4</v>
          </cell>
          <cell r="J1014">
            <v>1.2143291555696084E-4</v>
          </cell>
        </row>
        <row r="1015">
          <cell r="A1015" t="str">
            <v>RHES-SHCOABR</v>
          </cell>
          <cell r="B1015" t="str">
            <v>VAR_fout</v>
          </cell>
          <cell r="C1015" t="str">
            <v>CO2_R</v>
          </cell>
        </row>
        <row r="1016">
          <cell r="A1016" t="str">
            <v>RHES-SHCOABR</v>
          </cell>
          <cell r="B1016" t="str">
            <v>VAR_fout</v>
          </cell>
          <cell r="C1016" t="str">
            <v>RHES-SHCOA</v>
          </cell>
        </row>
        <row r="1017">
          <cell r="A1017" t="str">
            <v>RHES-SHCOABR</v>
          </cell>
          <cell r="B1017" t="str">
            <v>VAR_fin</v>
          </cell>
          <cell r="C1017" t="str">
            <v>RCOA</v>
          </cell>
        </row>
        <row r="1018">
          <cell r="A1018" t="str">
            <v>RHES-SHCOABR</v>
          </cell>
          <cell r="B1018" t="str">
            <v>VAR_cap</v>
          </cell>
          <cell r="C1018" t="str">
            <v>-</v>
          </cell>
          <cell r="H1018">
            <v>4.7075242050982277E-7</v>
          </cell>
        </row>
        <row r="1019">
          <cell r="A1019" t="str">
            <v>D-INGA</v>
          </cell>
          <cell r="B1019" t="str">
            <v>VAR_fout</v>
          </cell>
          <cell r="C1019" t="str">
            <v>CO2</v>
          </cell>
          <cell r="H1019">
            <v>588.16312711816101</v>
          </cell>
          <cell r="I1019">
            <v>359.21038380469298</v>
          </cell>
          <cell r="J1019">
            <v>57.703100989530903</v>
          </cell>
        </row>
        <row r="1020">
          <cell r="A1020" t="str">
            <v>D-INGA</v>
          </cell>
          <cell r="B1020" t="str">
            <v>VAR_fout</v>
          </cell>
          <cell r="C1020" t="str">
            <v>IH2</v>
          </cell>
          <cell r="H1020">
            <v>0.28720551393287996</v>
          </cell>
          <cell r="I1020">
            <v>0.16605330954915259</v>
          </cell>
          <cell r="J1020">
            <v>0.10731989735951289</v>
          </cell>
        </row>
        <row r="1021">
          <cell r="A1021" t="str">
            <v>D-INGA</v>
          </cell>
          <cell r="B1021" t="str">
            <v>VAR_fout</v>
          </cell>
          <cell r="C1021" t="str">
            <v>INGA</v>
          </cell>
          <cell r="H1021">
            <v>12.837351607212584</v>
          </cell>
          <cell r="I1021">
            <v>8.7912182958474645</v>
          </cell>
          <cell r="J1021">
            <v>3.4625550255508823</v>
          </cell>
        </row>
        <row r="1022">
          <cell r="A1022" t="str">
            <v>D-INGA</v>
          </cell>
          <cell r="B1022" t="str">
            <v>VAR_fin</v>
          </cell>
          <cell r="C1022" t="str">
            <v>NGA</v>
          </cell>
          <cell r="H1022">
            <v>10.4284242396837</v>
          </cell>
          <cell r="I1022">
            <v>6.3689784362534345</v>
          </cell>
          <cell r="J1022">
            <v>1.0231046274739513</v>
          </cell>
        </row>
        <row r="1023">
          <cell r="A1023" t="str">
            <v>D-INGA</v>
          </cell>
          <cell r="B1023" t="str">
            <v>VAR_fin</v>
          </cell>
          <cell r="C1023" t="str">
            <v>BNGA</v>
          </cell>
          <cell r="H1023">
            <v>2.4508566150043882</v>
          </cell>
          <cell r="I1023">
            <v>2.450856702139403</v>
          </cell>
          <cell r="J1023">
            <v>2.4508567957224869</v>
          </cell>
        </row>
        <row r="1024">
          <cell r="A1024" t="str">
            <v>D-INGA</v>
          </cell>
          <cell r="B1024" t="str">
            <v>VAR_fin</v>
          </cell>
          <cell r="C1024" t="str">
            <v>H2</v>
          </cell>
          <cell r="H1024">
            <v>0.28720549815077834</v>
          </cell>
          <cell r="I1024">
            <v>0.16605331700924877</v>
          </cell>
          <cell r="J1024">
            <v>0.10731969768461017</v>
          </cell>
        </row>
        <row r="1025">
          <cell r="A1025" t="str">
            <v>D-INGA</v>
          </cell>
          <cell r="B1025" t="str">
            <v>VAR_ncap</v>
          </cell>
          <cell r="C1025" t="str">
            <v>-</v>
          </cell>
          <cell r="H1025">
            <v>8.3640269814689096E-8</v>
          </cell>
          <cell r="I1025">
            <v>1.11888840320333E-7</v>
          </cell>
          <cell r="J1025">
            <v>3.7243608670048599E-7</v>
          </cell>
        </row>
        <row r="1026">
          <cell r="A1026" t="str">
            <v>D-INGA</v>
          </cell>
          <cell r="B1026" t="str">
            <v>VAR_cap</v>
          </cell>
          <cell r="C1026" t="str">
            <v>-</v>
          </cell>
          <cell r="H1026">
            <v>1.9844835857505565</v>
          </cell>
          <cell r="I1026">
            <v>1.9844836976393967</v>
          </cell>
          <cell r="J1026">
            <v>1.0954601372553034</v>
          </cell>
        </row>
        <row r="1027">
          <cell r="A1027" t="str">
            <v>RHEM-SHNGAHP</v>
          </cell>
          <cell r="B1027" t="str">
            <v>VAR_fout</v>
          </cell>
          <cell r="C1027" t="str">
            <v>CO2_R</v>
          </cell>
          <cell r="H1027">
            <v>109.39946445654201</v>
          </cell>
          <cell r="I1027">
            <v>132.834330516921</v>
          </cell>
          <cell r="J1027">
            <v>113.314966907572</v>
          </cell>
        </row>
        <row r="1028">
          <cell r="A1028" t="str">
            <v>RHEM-SHNGAHP</v>
          </cell>
          <cell r="B1028" t="str">
            <v>VAR_fout</v>
          </cell>
          <cell r="C1028" t="str">
            <v>RHEM-SHANGAH</v>
          </cell>
          <cell r="H1028">
            <v>3.8681427502517893</v>
          </cell>
          <cell r="I1028">
            <v>4.7847828728674857</v>
          </cell>
          <cell r="J1028">
            <v>4.2669831414212984</v>
          </cell>
        </row>
        <row r="1029">
          <cell r="A1029" t="str">
            <v>RHEM-SHNGAHP</v>
          </cell>
          <cell r="B1029" t="str">
            <v>VAR_fin</v>
          </cell>
          <cell r="C1029" t="str">
            <v>RHEMELCHPC</v>
          </cell>
          <cell r="H1029">
            <v>3.8681427502517893</v>
          </cell>
          <cell r="I1029">
            <v>4.7847828728674857</v>
          </cell>
          <cell r="J1029">
            <v>4.2669831414212984</v>
          </cell>
        </row>
        <row r="1030">
          <cell r="A1030" t="str">
            <v>RHEM-SHNGAHP</v>
          </cell>
          <cell r="B1030" t="str">
            <v>VAR_fin</v>
          </cell>
          <cell r="C1030" t="str">
            <v>RNGA</v>
          </cell>
          <cell r="H1030">
            <v>1.9397068166053553</v>
          </cell>
          <cell r="I1030">
            <v>2.3552186261865451</v>
          </cell>
          <cell r="J1030">
            <v>2.009130618928578</v>
          </cell>
        </row>
        <row r="1031">
          <cell r="A1031" t="str">
            <v>RHEM-SHNGAHP</v>
          </cell>
          <cell r="B1031" t="str">
            <v>VAR_ncap</v>
          </cell>
          <cell r="C1031" t="str">
            <v>-</v>
          </cell>
          <cell r="H1031">
            <v>5.4355244699531E-2</v>
          </cell>
          <cell r="I1031">
            <v>0.19812138162283699</v>
          </cell>
          <cell r="J1031">
            <v>0.13507027872671001</v>
          </cell>
        </row>
        <row r="1032">
          <cell r="A1032" t="str">
            <v>RHEM-SHNGAHP</v>
          </cell>
          <cell r="B1032" t="str">
            <v>VAR_cap</v>
          </cell>
          <cell r="C1032" t="str">
            <v>-</v>
          </cell>
          <cell r="H1032">
            <v>0.27314599902754566</v>
          </cell>
          <cell r="I1032">
            <v>0.33787267506721264</v>
          </cell>
          <cell r="J1032">
            <v>0.30184557851221222</v>
          </cell>
        </row>
        <row r="1033">
          <cell r="A1033" t="str">
            <v>D-SPLT</v>
          </cell>
          <cell r="B1033" t="str">
            <v>VAR_fout</v>
          </cell>
          <cell r="C1033" t="str">
            <v>SPLT</v>
          </cell>
          <cell r="H1033">
            <v>1.3074298881582929</v>
          </cell>
          <cell r="I1033">
            <v>1.4166787045834823</v>
          </cell>
          <cell r="J1033">
            <v>1.1873863038217309</v>
          </cell>
        </row>
        <row r="1034">
          <cell r="A1034" t="str">
            <v>D-SPLT</v>
          </cell>
          <cell r="B1034" t="str">
            <v>VAR_fin</v>
          </cell>
          <cell r="C1034" t="str">
            <v>PLT</v>
          </cell>
          <cell r="H1034">
            <v>1.3074298881582929</v>
          </cell>
          <cell r="I1034">
            <v>1.4166787045834823</v>
          </cell>
          <cell r="J1034">
            <v>1.1873863038217309</v>
          </cell>
        </row>
        <row r="1035">
          <cell r="A1035" t="str">
            <v>RHES-SHCONBR</v>
          </cell>
          <cell r="B1035" t="str">
            <v>VAR_fout</v>
          </cell>
          <cell r="C1035" t="str">
            <v>RHES-SHCON</v>
          </cell>
          <cell r="H1035">
            <v>1.8268409732441479E-5</v>
          </cell>
          <cell r="I1035">
            <v>1.8918135443059645E-5</v>
          </cell>
          <cell r="J1035">
            <v>2.0324018261363068E-5</v>
          </cell>
        </row>
        <row r="1036">
          <cell r="A1036" t="str">
            <v>RHES-SHCONBR</v>
          </cell>
          <cell r="B1036" t="str">
            <v>VAR_fin</v>
          </cell>
          <cell r="C1036" t="str">
            <v>CON</v>
          </cell>
          <cell r="H1036">
            <v>1.8268409732441479E-5</v>
          </cell>
          <cell r="I1036">
            <v>1.8918135443059645E-5</v>
          </cell>
          <cell r="J1036">
            <v>2.0324018261363068E-5</v>
          </cell>
        </row>
        <row r="1037">
          <cell r="A1037" t="str">
            <v>RHES-SHCONBR</v>
          </cell>
          <cell r="B1037" t="str">
            <v>VAR_ncap</v>
          </cell>
          <cell r="C1037" t="str">
            <v>-</v>
          </cell>
          <cell r="H1037">
            <v>7.4828443354066797E-7</v>
          </cell>
          <cell r="I1037">
            <v>3.2584859098894103E-8</v>
          </cell>
          <cell r="J1037">
            <v>1.82267911743761E-8</v>
          </cell>
        </row>
        <row r="1038">
          <cell r="A1038" t="str">
            <v>RHES-SHCONBR</v>
          </cell>
          <cell r="B1038" t="str">
            <v>VAR_cap</v>
          </cell>
          <cell r="C1038" t="str">
            <v>-</v>
          </cell>
          <cell r="H1038">
            <v>1.68232625586598E-6</v>
          </cell>
          <cell r="I1038">
            <v>1.71491111496487E-6</v>
          </cell>
          <cell r="J1038">
            <v>1.7331379061392499E-6</v>
          </cell>
        </row>
        <row r="1039">
          <cell r="A1039" t="str">
            <v>RHSA-WHSOLBR</v>
          </cell>
          <cell r="B1039" t="str">
            <v>VAR_fout</v>
          </cell>
          <cell r="C1039" t="str">
            <v>RHSA-WHASOL</v>
          </cell>
          <cell r="H1039">
            <v>1.4923790942757829</v>
          </cell>
          <cell r="I1039">
            <v>1.8033035338474162</v>
          </cell>
          <cell r="J1039">
            <v>2.0823439997040505</v>
          </cell>
        </row>
        <row r="1040">
          <cell r="A1040" t="str">
            <v>RHSA-WHSOLBR</v>
          </cell>
          <cell r="B1040" t="str">
            <v>VAR_fin</v>
          </cell>
          <cell r="C1040" t="str">
            <v>SOL</v>
          </cell>
          <cell r="H1040">
            <v>1.4923790942757829</v>
          </cell>
          <cell r="I1040">
            <v>1.8033035338474162</v>
          </cell>
          <cell r="J1040">
            <v>2.0823439997040505</v>
          </cell>
        </row>
        <row r="1041">
          <cell r="A1041" t="str">
            <v>RHSA-WHSOLBR</v>
          </cell>
          <cell r="B1041" t="str">
            <v>VAR_fin</v>
          </cell>
          <cell r="C1041" t="str">
            <v>RHSASOLBRC</v>
          </cell>
          <cell r="H1041">
            <v>1.4923790942757829</v>
          </cell>
          <cell r="I1041">
            <v>1.8033035338474162</v>
          </cell>
          <cell r="J1041">
            <v>2.0823439997040505</v>
          </cell>
        </row>
        <row r="1042">
          <cell r="A1042" t="str">
            <v>RHSA-WHSOLBR</v>
          </cell>
          <cell r="B1042" t="str">
            <v>VAR_ncap</v>
          </cell>
          <cell r="C1042" t="str">
            <v>-</v>
          </cell>
          <cell r="H1042">
            <v>0.25632447005086301</v>
          </cell>
          <cell r="I1042">
            <v>0.20317265292014899</v>
          </cell>
          <cell r="J1042">
            <v>0.28887226342863698</v>
          </cell>
        </row>
        <row r="1043">
          <cell r="A1043" t="str">
            <v>RHSA-WHSOLBR</v>
          </cell>
          <cell r="B1043" t="str">
            <v>VAR_cap</v>
          </cell>
          <cell r="C1043" t="str">
            <v>-</v>
          </cell>
          <cell r="H1043">
            <v>0.36344859008460867</v>
          </cell>
          <cell r="I1043">
            <v>0.45949715491978183</v>
          </cell>
          <cell r="J1043">
            <v>0.54474532265161046</v>
          </cell>
        </row>
        <row r="1044">
          <cell r="A1044" t="str">
            <v>RHNM-SHNGABR</v>
          </cell>
          <cell r="B1044" t="str">
            <v>VAR_fout</v>
          </cell>
          <cell r="C1044" t="str">
            <v>CO2_R</v>
          </cell>
          <cell r="H1044">
            <v>6.8926696746024403</v>
          </cell>
          <cell r="I1044">
            <v>3.80233050550178</v>
          </cell>
        </row>
        <row r="1045">
          <cell r="A1045" t="str">
            <v>RHNM-SHNGABR</v>
          </cell>
          <cell r="B1045" t="str">
            <v>VAR_fout</v>
          </cell>
          <cell r="C1045" t="str">
            <v>RHNM-SHNGA</v>
          </cell>
          <cell r="H1045">
            <v>0.11729255988077024</v>
          </cell>
          <cell r="I1045">
            <v>6.470425822760327E-2</v>
          </cell>
        </row>
        <row r="1046">
          <cell r="A1046" t="str">
            <v>RHNM-SHNGABR</v>
          </cell>
          <cell r="B1046" t="str">
            <v>VAR_fin</v>
          </cell>
          <cell r="C1046" t="str">
            <v>RNGA</v>
          </cell>
          <cell r="H1046">
            <v>0.12221045522344742</v>
          </cell>
          <cell r="I1046">
            <v>6.7417207544357746E-2</v>
          </cell>
        </row>
        <row r="1047">
          <cell r="A1047" t="str">
            <v>RHNM-SHNGABR</v>
          </cell>
          <cell r="B1047" t="str">
            <v>VAR_ncap</v>
          </cell>
          <cell r="C1047" t="str">
            <v>-</v>
          </cell>
          <cell r="H1047">
            <v>1.13701824308828E-6</v>
          </cell>
          <cell r="I1047">
            <v>5.0253753621271498E-3</v>
          </cell>
          <cell r="J1047">
            <v>2.0380445926771898E-8</v>
          </cell>
        </row>
        <row r="1048">
          <cell r="A1048" t="str">
            <v>RHNM-SHNGABR</v>
          </cell>
          <cell r="B1048" t="str">
            <v>VAR_cap</v>
          </cell>
          <cell r="C1048" t="str">
            <v>-</v>
          </cell>
          <cell r="H1048">
            <v>9.1666116608994999E-3</v>
          </cell>
          <cell r="I1048">
            <v>5.0265261229842251E-3</v>
          </cell>
          <cell r="J1048">
            <v>1.242983311190108E-6</v>
          </cell>
        </row>
        <row r="1049">
          <cell r="A1049" t="str">
            <v>RHES-SHSOLBR</v>
          </cell>
          <cell r="B1049" t="str">
            <v>VAR_fout</v>
          </cell>
          <cell r="C1049" t="str">
            <v>RHES-SHASOL</v>
          </cell>
          <cell r="H1049">
            <v>2.7283425647225881E-2</v>
          </cell>
          <cell r="I1049">
            <v>2.8116714404027517E-2</v>
          </cell>
          <cell r="J1049">
            <v>2.7977532334685744E-2</v>
          </cell>
        </row>
        <row r="1050">
          <cell r="A1050" t="str">
            <v>RHES-SHSOLBR</v>
          </cell>
          <cell r="B1050" t="str">
            <v>VAR_fin</v>
          </cell>
          <cell r="C1050" t="str">
            <v>SOL</v>
          </cell>
          <cell r="H1050">
            <v>2.7283425647225881E-2</v>
          </cell>
          <cell r="I1050">
            <v>2.8116714404027517E-2</v>
          </cell>
          <cell r="J1050">
            <v>2.7977532334685744E-2</v>
          </cell>
        </row>
        <row r="1051">
          <cell r="A1051" t="str">
            <v>RHES-SHSOLBR</v>
          </cell>
          <cell r="B1051" t="str">
            <v>VAR_ncap</v>
          </cell>
          <cell r="C1051" t="str">
            <v>-</v>
          </cell>
          <cell r="H1051">
            <v>2.7325738768823899E-8</v>
          </cell>
          <cell r="I1051">
            <v>4.0851341387582903E-3</v>
          </cell>
          <cell r="J1051">
            <v>1.10016638368111E-3</v>
          </cell>
        </row>
        <row r="1052">
          <cell r="A1052" t="str">
            <v>RHES-SHSOLBR</v>
          </cell>
          <cell r="B1052" t="str">
            <v>VAR_cap</v>
          </cell>
          <cell r="C1052" t="str">
            <v>-</v>
          </cell>
          <cell r="H1052">
            <v>1.8519199935083455E-2</v>
          </cell>
          <cell r="I1052">
            <v>4.0851501473525217E-3</v>
          </cell>
          <cell r="J1052">
            <v>4.0648914200535147E-3</v>
          </cell>
        </row>
        <row r="1053">
          <cell r="A1053" t="str">
            <v>SCOM-SHSOLBR</v>
          </cell>
          <cell r="B1053" t="str">
            <v>VAR_fout</v>
          </cell>
          <cell r="C1053" t="str">
            <v>SCOM-SHASOL</v>
          </cell>
          <cell r="H1053">
            <v>0.87146853361289423</v>
          </cell>
          <cell r="I1053">
            <v>1.0806218982251417</v>
          </cell>
          <cell r="J1053">
            <v>1.3122302711431812</v>
          </cell>
        </row>
        <row r="1054">
          <cell r="A1054" t="str">
            <v>SCOM-SHSOLBR</v>
          </cell>
          <cell r="B1054" t="str">
            <v>VAR_fin</v>
          </cell>
          <cell r="C1054" t="str">
            <v>SOL</v>
          </cell>
          <cell r="H1054">
            <v>0.87146853361289423</v>
          </cell>
          <cell r="I1054">
            <v>1.0806218982251417</v>
          </cell>
          <cell r="J1054">
            <v>1.3122302711431812</v>
          </cell>
        </row>
        <row r="1055">
          <cell r="A1055" t="str">
            <v>SCOM-SHSOLBR</v>
          </cell>
          <cell r="B1055" t="str">
            <v>VAR_ncap</v>
          </cell>
          <cell r="C1055" t="str">
            <v>-</v>
          </cell>
          <cell r="H1055">
            <v>9.3396242967293694E-2</v>
          </cell>
          <cell r="I1055">
            <v>6.0084515795404601E-2</v>
          </cell>
          <cell r="J1055">
            <v>0.107469509582756</v>
          </cell>
        </row>
        <row r="1056">
          <cell r="A1056" t="str">
            <v>SCOM-SHSOLBR</v>
          </cell>
          <cell r="B1056" t="str">
            <v>VAR_cap</v>
          </cell>
          <cell r="C1056" t="str">
            <v>-</v>
          </cell>
          <cell r="H1056">
            <v>0.12656655263205152</v>
          </cell>
          <cell r="I1056">
            <v>0.15694105057007984</v>
          </cell>
          <cell r="J1056">
            <v>0.19058094252003033</v>
          </cell>
        </row>
        <row r="1057">
          <cell r="A1057" t="str">
            <v>RHEM-SHSTG-ELCHP</v>
          </cell>
          <cell r="B1057" t="str">
            <v>VAR_fout</v>
          </cell>
          <cell r="C1057" t="str">
            <v>RHEM-SHAELCH</v>
          </cell>
          <cell r="H1057">
            <v>4.0925631041359569</v>
          </cell>
          <cell r="I1057">
            <v>5.3913406771148287</v>
          </cell>
          <cell r="J1057">
            <v>4.699845143510708</v>
          </cell>
        </row>
        <row r="1058">
          <cell r="A1058" t="str">
            <v>RHEM-SHSTG-ELCHP</v>
          </cell>
          <cell r="B1058" t="str">
            <v>VAR_fout</v>
          </cell>
          <cell r="C1058" t="str">
            <v>AUX_RHEM-SHSTG-ELCHP_OUT</v>
          </cell>
          <cell r="H1058">
            <v>4.0966556672400936</v>
          </cell>
          <cell r="I1058">
            <v>5.3967320177919422</v>
          </cell>
          <cell r="J1058">
            <v>4.704544988654221</v>
          </cell>
        </row>
        <row r="1059">
          <cell r="A1059" t="str">
            <v>RHEM-SHSTG-ELCHP</v>
          </cell>
          <cell r="B1059" t="str">
            <v>VAR_fin</v>
          </cell>
          <cell r="C1059" t="str">
            <v>RHEM-SHAELCH</v>
          </cell>
          <cell r="H1059">
            <v>4.0925631632209543</v>
          </cell>
          <cell r="I1059">
            <v>5.391340682341534</v>
          </cell>
          <cell r="J1059">
            <v>4.6998452917173879</v>
          </cell>
        </row>
        <row r="1060">
          <cell r="A1060" t="str">
            <v>RHEM-SHSTG-ELCHP</v>
          </cell>
          <cell r="B1060" t="str">
            <v>VAR_ncap</v>
          </cell>
          <cell r="C1060" t="str">
            <v>-</v>
          </cell>
          <cell r="H1060">
            <v>0.220143303808015</v>
          </cell>
          <cell r="I1060">
            <v>0.18191210097785801</v>
          </cell>
          <cell r="J1060">
            <v>0.27383219099198502</v>
          </cell>
        </row>
        <row r="1061">
          <cell r="A1061" t="str">
            <v>RHEM-SHSTG-ELCHP</v>
          </cell>
          <cell r="B1061" t="str">
            <v>VAR_cap</v>
          </cell>
          <cell r="C1061" t="str">
            <v>-</v>
          </cell>
          <cell r="H1061">
            <v>0.40232305556283315</v>
          </cell>
          <cell r="I1061">
            <v>0.49217492204561947</v>
          </cell>
          <cell r="J1061">
            <v>0.49896518622683467</v>
          </cell>
        </row>
        <row r="1062">
          <cell r="A1062" t="str">
            <v>ITOT-SWHELCBR</v>
          </cell>
          <cell r="B1062" t="str">
            <v>VAR_fout</v>
          </cell>
          <cell r="C1062" t="str">
            <v>ITOT-SWHAELC</v>
          </cell>
          <cell r="H1062">
            <v>10.576618431378886</v>
          </cell>
          <cell r="I1062">
            <v>10.576618479000622</v>
          </cell>
          <cell r="J1062">
            <v>10.703314395395418</v>
          </cell>
        </row>
        <row r="1063">
          <cell r="A1063" t="str">
            <v>ITOT-SWHELCBR</v>
          </cell>
          <cell r="B1063" t="str">
            <v>VAR_fin</v>
          </cell>
          <cell r="C1063" t="str">
            <v>ITOT_ELC</v>
          </cell>
          <cell r="H1063">
            <v>12.502394110261905</v>
          </cell>
          <cell r="I1063">
            <v>12.485902999706303</v>
          </cell>
          <cell r="J1063">
            <v>12.602224289614922</v>
          </cell>
        </row>
        <row r="1064">
          <cell r="A1064" t="str">
            <v>ITOT-SWHELCBR</v>
          </cell>
          <cell r="B1064" t="str">
            <v>VAR_ncap</v>
          </cell>
          <cell r="C1064" t="str">
            <v>-</v>
          </cell>
          <cell r="H1064">
            <v>0.618835109384404</v>
          </cell>
          <cell r="I1064">
            <v>0.15070721085990199</v>
          </cell>
          <cell r="J1064">
            <v>0.59452672753987601</v>
          </cell>
        </row>
        <row r="1065">
          <cell r="A1065" t="str">
            <v>ITOT-SWHELCBR</v>
          </cell>
          <cell r="B1065" t="str">
            <v>VAR_cap</v>
          </cell>
          <cell r="C1065" t="str">
            <v>-</v>
          </cell>
          <cell r="H1065">
            <v>0.97636181483188345</v>
          </cell>
          <cell r="I1065">
            <v>0.84609726502931193</v>
          </cell>
          <cell r="J1065">
            <v>0.96566245078803647</v>
          </cell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1.0743420506814805E-2</v>
          </cell>
          <cell r="K4">
            <v>16.81434060542739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9.0311978074180549E-4</v>
          </cell>
          <cell r="K5">
            <v>1.2511494385192687E-2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2.9006546846707202E-3</v>
          </cell>
          <cell r="K6">
            <v>12.047933115772846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6.9378828644495487E-3</v>
          </cell>
          <cell r="K7">
            <v>4.7538952340280609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I8">
            <v>0.10908318069906212</v>
          </cell>
          <cell r="J8">
            <v>-61.975967771752572</v>
          </cell>
          <cell r="K8">
            <v>-50.871617580197992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653.90740202814266</v>
          </cell>
          <cell r="K9">
            <v>2196.8002275230165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729.42040532327258</v>
          </cell>
          <cell r="K10">
            <v>2096.0715884688016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9.18568900345995E-2</v>
          </cell>
          <cell r="K11">
            <v>351.92670836106396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0.11231744400757231</v>
          </cell>
          <cell r="K12">
            <v>38.014082957337585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438.51421332867932</v>
          </cell>
          <cell r="K13">
            <v>804.77359758220928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3.6757820608345433E-2</v>
          </cell>
          <cell r="K14">
            <v>0.23182988275486649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9.1045215106178787E-3</v>
          </cell>
          <cell r="K15">
            <v>1031.8744666983953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7.7929308548318936E-3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3.8297266387882835E-4</v>
          </cell>
          <cell r="K17">
            <v>1.3472326781415449E-3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1822.0918744422445</v>
          </cell>
          <cell r="K18">
            <v>6519.7011458804163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I19">
            <v>0.10908318069906212</v>
          </cell>
          <cell r="J19">
            <v>-63.894203365073857</v>
          </cell>
          <cell r="K19">
            <v>-52.065075339982279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833.33324900664979</v>
          </cell>
          <cell r="K20">
            <v>1904.7619694937277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833.33324900664979</v>
          </cell>
          <cell r="K21">
            <v>1904.7619694937277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-61.975967771752572</v>
          </cell>
          <cell r="K22">
            <v>-50.871617580197992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4.7095626228799503</v>
          </cell>
          <cell r="J23">
            <v>2.73184517501431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23.088465196306</v>
          </cell>
          <cell r="J24">
            <v>27.731939163216801</v>
          </cell>
          <cell r="K24">
            <v>29.4379631424693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0.91741697711447701</v>
          </cell>
          <cell r="J25">
            <v>0.289700097829097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524.84671574441597</v>
          </cell>
          <cell r="J26">
            <v>191.33006776436901</v>
          </cell>
          <cell r="K26">
            <v>61.569957447775401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64.414597220953695</v>
          </cell>
          <cell r="J27">
            <v>79.354520923663301</v>
          </cell>
          <cell r="K27">
            <v>73.274525082223903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562.70975924256402</v>
          </cell>
          <cell r="J28">
            <v>204.288630616402</v>
          </cell>
          <cell r="K28">
            <v>22.155581704824201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40.810676969603797</v>
          </cell>
          <cell r="J29">
            <v>36.985846298365402</v>
          </cell>
          <cell r="K29">
            <v>27.977291696985201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3.65741116020821</v>
          </cell>
          <cell r="J30">
            <v>3.5832987068342099</v>
          </cell>
          <cell r="K30">
            <v>2.1972694355237601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2.0204428494329298</v>
          </cell>
          <cell r="J31">
            <v>1.71972379272466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16.9792699069198</v>
          </cell>
          <cell r="J32">
            <v>8.7431145367390801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29.644672785170801</v>
          </cell>
          <cell r="J33">
            <v>35.441599358343097</v>
          </cell>
          <cell r="K33">
            <v>36.649280521743002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284.52653090739602</v>
          </cell>
          <cell r="J34">
            <v>132.25604026227501</v>
          </cell>
          <cell r="K34">
            <v>52.912197867178698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216.70198197581001</v>
          </cell>
          <cell r="J35">
            <v>118.74479222818999</v>
          </cell>
          <cell r="K35">
            <v>47.627582542644802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177.50288603975099</v>
          </cell>
          <cell r="J36">
            <v>83.580502428344801</v>
          </cell>
          <cell r="K36">
            <v>5.4763940666033504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335.17517773124302</v>
          </cell>
          <cell r="J37">
            <v>107.864372017534</v>
          </cell>
          <cell r="K37">
            <v>11.4729082404455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0.43014234239542798</v>
          </cell>
          <cell r="J38">
            <v>0.225875161013804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46.327756610848503</v>
          </cell>
          <cell r="J39">
            <v>20.332378124178099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109.39946445654201</v>
          </cell>
          <cell r="J41">
            <v>132.834330516921</v>
          </cell>
          <cell r="K41">
            <v>113.314966907572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6.8926696746024403</v>
          </cell>
          <cell r="J42">
            <v>3.80233050550178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2450.7556004141602</v>
          </cell>
          <cell r="J43">
            <v>1191.8409076774601</v>
          </cell>
          <cell r="K43">
            <v>484.06591865598898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100.11016706868401</v>
          </cell>
          <cell r="J44">
            <v>121.533720843447</v>
          </cell>
          <cell r="K44">
            <v>109.995811996622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30.937602377803898</v>
          </cell>
          <cell r="J45">
            <v>37.613551760693497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647.47641796112498</v>
          </cell>
          <cell r="J46">
            <v>503.52994555016801</v>
          </cell>
          <cell r="K46">
            <v>495.75700488598301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629.351008167141</v>
          </cell>
          <cell r="J47">
            <v>260.60124237036598</v>
          </cell>
          <cell r="K47">
            <v>18.065592133511998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1407.87519557475</v>
          </cell>
          <cell r="J48">
            <v>923.27846052467498</v>
          </cell>
          <cell r="K48">
            <v>623.81840901611702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3.1627060169028676</v>
          </cell>
          <cell r="J50">
            <v>3.08889336333193</v>
          </cell>
          <cell r="K50">
            <v>0.160830702262137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1.7611751615804281E-2</v>
          </cell>
          <cell r="J51">
            <v>8.2484119589059691E-3</v>
          </cell>
          <cell r="K51">
            <v>1.0881943842300551E-3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0.89108617150036906</v>
          </cell>
          <cell r="J52">
            <v>5.4358368743214536E-2</v>
          </cell>
          <cell r="K52">
            <v>3.4003672925014602E-3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894.47557453877494</v>
          </cell>
          <cell r="J53">
            <v>486.28099213816932</v>
          </cell>
          <cell r="K53">
            <v>65.919219356343618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2.07762330880227</v>
          </cell>
          <cell r="J54">
            <v>0.12914967010194084</v>
          </cell>
          <cell r="K54">
            <v>3.5420424296142301E-3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201.9759114375307</v>
          </cell>
          <cell r="J55">
            <v>40.505209631474699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5.312190194492538E-3</v>
          </cell>
          <cell r="J58">
            <v>1.286097099974956E-3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0.10791003252620318</v>
          </cell>
          <cell r="J59">
            <v>2.4475023578569561E-3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2.163437109820332E-2</v>
          </cell>
          <cell r="J60">
            <v>2.4364210045008799E-3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0.18581899680928829</v>
          </cell>
          <cell r="J61">
            <v>2.671332032000908E-2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0.75094125441264392</v>
          </cell>
          <cell r="J62">
            <v>0.14302812905540854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9.8710411975255624E-3</v>
          </cell>
          <cell r="J63">
            <v>3.31405360892748E-3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8.7196285226710038E-3</v>
          </cell>
          <cell r="J64">
            <v>2.466478632143311E-3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7.1374563174251317E-3</v>
          </cell>
          <cell r="J65">
            <v>2.3115303617821151E-3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8.6158607493883686E-3</v>
          </cell>
          <cell r="J66">
            <v>2.1173345469433268E-3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6.7974206192857149E-3</v>
          </cell>
          <cell r="J67">
            <v>1.9088457716326249E-3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1.133399135034646E-2</v>
          </cell>
          <cell r="J68">
            <v>3.1925100593297459E-3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6.5151030611888842E-3</v>
          </cell>
          <cell r="J69">
            <v>1.619190874372697E-3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4.4292862171891531E-3</v>
          </cell>
          <cell r="J71">
            <v>1.136657115766951E-3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1.0876291359362101E-2</v>
          </cell>
          <cell r="J75">
            <v>3.9034774764216901E-3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66.385903623485476</v>
          </cell>
          <cell r="J76">
            <v>57.392622868875534</v>
          </cell>
          <cell r="K76">
            <v>13.201897366878988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1185.3224620681401</v>
          </cell>
          <cell r="J77">
            <v>564.51732213744799</v>
          </cell>
          <cell r="K77">
            <v>149.74478257989901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0.69520568665008786</v>
          </cell>
          <cell r="J78">
            <v>4.2339953875320498E-3</v>
          </cell>
          <cell r="K78">
            <v>1.8580419596751292E-3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13.836812266462426</v>
          </cell>
          <cell r="J79">
            <v>3.3449881043163083</v>
          </cell>
          <cell r="K79">
            <v>1.8666428959290479E-3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9.2620928223627175</v>
          </cell>
          <cell r="J81">
            <v>8.3870654420270387</v>
          </cell>
          <cell r="K81">
            <v>5.1259078847993239E-3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0.18165268935170278</v>
          </cell>
          <cell r="J84">
            <v>3.1808180882773797E-2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I85">
            <v>1.5900287096917501E-2</v>
          </cell>
          <cell r="J85">
            <v>6.0649780351605146E-3</v>
          </cell>
          <cell r="K85">
            <v>1.560981367069326E-3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I86">
            <v>1.205618487563823E-2</v>
          </cell>
          <cell r="J86">
            <v>1.2919572613932968E-2</v>
          </cell>
          <cell r="K86">
            <v>3.8185159441333359E-3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5.1182113830868508</v>
          </cell>
          <cell r="J87">
            <v>22.831866660010359</v>
          </cell>
          <cell r="K87">
            <v>9.0947015941786287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I88">
            <v>0.21389445376586624</v>
          </cell>
          <cell r="J88">
            <v>0.2258067282057844</v>
          </cell>
          <cell r="K88">
            <v>5.9883951568325197E-3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I89">
            <v>3.1233673956045997</v>
          </cell>
          <cell r="J89">
            <v>3.8964317284956154E-2</v>
          </cell>
          <cell r="K89">
            <v>8.8866621100423156E-3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I90">
            <v>1.07115531790934E-4</v>
          </cell>
          <cell r="J90">
            <v>5.2880405317991303E-5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I91">
            <v>92.159815440233047</v>
          </cell>
          <cell r="J91">
            <v>0.15719599666861223</v>
          </cell>
          <cell r="K91">
            <v>4.7979555998343901E-2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I92">
            <v>1.3247271718233E-4</v>
          </cell>
          <cell r="J92">
            <v>6.5746525410102595E-5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47.229985717808077</v>
          </cell>
          <cell r="J97">
            <v>6.2348922687682817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13.519922693012553</v>
          </cell>
          <cell r="J98">
            <v>2.7727306880918599E-2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54.354799707969271</v>
          </cell>
          <cell r="J99">
            <v>5.7502672280974361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1.1097642676361846E-2</v>
          </cell>
          <cell r="J100">
            <v>1.4308638579340681E-3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19.642563653046206</v>
          </cell>
          <cell r="J101">
            <v>8.3176152935218753E-2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1.4849245580973982</v>
          </cell>
          <cell r="J102">
            <v>1.5441120335510361E-3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157.33162549798109</v>
          </cell>
          <cell r="J103">
            <v>19.431976497199933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10.116877257919173</v>
          </cell>
          <cell r="J104">
            <v>1.3682920982156851E-3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5.6259975626513281</v>
          </cell>
          <cell r="J105">
            <v>9.7711021380062109E-4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0.17519859273714852</v>
          </cell>
          <cell r="J110">
            <v>2.6411553185379671E-2</v>
          </cell>
        </row>
        <row r="111">
          <cell r="B111" t="str">
            <v>CO2_T</v>
          </cell>
          <cell r="C111" t="str">
            <v>VAR_fout</v>
          </cell>
          <cell r="D111" t="str">
            <v>TFRLFDSLEXT</v>
          </cell>
        </row>
        <row r="112">
          <cell r="B112" t="str">
            <v>CO2_T</v>
          </cell>
          <cell r="C112" t="str">
            <v>VAR_fout</v>
          </cell>
          <cell r="D112" t="str">
            <v>T_C-HY-GSL-S2</v>
          </cell>
          <cell r="I112">
            <v>30.018902735177182</v>
          </cell>
          <cell r="J112">
            <v>2.8378628103415866</v>
          </cell>
        </row>
        <row r="113">
          <cell r="B113" t="str">
            <v>CO2_T</v>
          </cell>
          <cell r="C113" t="str">
            <v>VAR_fout</v>
          </cell>
          <cell r="D113" t="str">
            <v>T_C-HY-DSL-S1</v>
          </cell>
          <cell r="I113">
            <v>2.4740217244718417</v>
          </cell>
          <cell r="J113">
            <v>2.5282141201806657E-3</v>
          </cell>
        </row>
        <row r="114">
          <cell r="B114" t="str">
            <v>CO2_T</v>
          </cell>
          <cell r="C114" t="str">
            <v>VAR_fout</v>
          </cell>
          <cell r="D114" t="str">
            <v>T_C-HY-GSL-S3</v>
          </cell>
          <cell r="I114">
            <v>22.036887218682455</v>
          </cell>
          <cell r="J114">
            <v>1.159340085356589E-3</v>
          </cell>
        </row>
        <row r="115">
          <cell r="B115" t="str">
            <v>CO2_T</v>
          </cell>
          <cell r="C115" t="str">
            <v>VAR_fout</v>
          </cell>
          <cell r="D115" t="str">
            <v>T_C-HY-DSL-S2</v>
          </cell>
          <cell r="I115">
            <v>40.759543552344482</v>
          </cell>
          <cell r="J115">
            <v>2.7150150697950468</v>
          </cell>
        </row>
        <row r="116">
          <cell r="B116" t="str">
            <v>CO2_T</v>
          </cell>
          <cell r="C116" t="str">
            <v>VAR_fout</v>
          </cell>
          <cell r="D116" t="str">
            <v>T_C-HY-GSL-S4</v>
          </cell>
          <cell r="I116">
            <v>1.1465534457099478</v>
          </cell>
          <cell r="J116">
            <v>1.312911014681079E-3</v>
          </cell>
        </row>
        <row r="117">
          <cell r="B117" t="str">
            <v>CO2_T</v>
          </cell>
          <cell r="C117" t="str">
            <v>VAR_fout</v>
          </cell>
          <cell r="D117" t="str">
            <v>T_C-HY-DSL-S3</v>
          </cell>
          <cell r="I117">
            <v>0.44169701636202308</v>
          </cell>
          <cell r="J117">
            <v>9.8033837648979407E-4</v>
          </cell>
        </row>
        <row r="118">
          <cell r="B118" t="str">
            <v>CO2_T</v>
          </cell>
          <cell r="C118" t="str">
            <v>VAR_fout</v>
          </cell>
          <cell r="D118" t="str">
            <v>T_C-HY-DSL-S4</v>
          </cell>
          <cell r="I118">
            <v>0.89817139865531503</v>
          </cell>
          <cell r="J118">
            <v>1.082043353958252E-3</v>
          </cell>
        </row>
        <row r="119">
          <cell r="B119" t="str">
            <v>CO2_T</v>
          </cell>
          <cell r="C119" t="str">
            <v>VAR_fout</v>
          </cell>
          <cell r="D119" t="str">
            <v>TFHGV-HYBDSL</v>
          </cell>
          <cell r="I119">
            <v>891.99893084547193</v>
          </cell>
          <cell r="J119">
            <v>764.67708912102796</v>
          </cell>
          <cell r="K119">
            <v>35.601637069928302</v>
          </cell>
        </row>
        <row r="120">
          <cell r="B120" t="str">
            <v>CO2_T</v>
          </cell>
          <cell r="C120" t="str">
            <v>VAR_fout</v>
          </cell>
          <cell r="D120" t="str">
            <v>TFHGV-ICEDSL</v>
          </cell>
          <cell r="I120">
            <v>6.4020145412254509E-3</v>
          </cell>
          <cell r="J120">
            <v>8.7496123088018005E-3</v>
          </cell>
          <cell r="K120">
            <v>8.0470325905790104E-4</v>
          </cell>
        </row>
        <row r="121">
          <cell r="B121" t="str">
            <v>CO2_T</v>
          </cell>
          <cell r="C121" t="str">
            <v>VAR_fout</v>
          </cell>
          <cell r="D121" t="str">
            <v>T-Plg-DSL-mix_S1</v>
          </cell>
          <cell r="I121">
            <v>1.7708525495616204E-2</v>
          </cell>
          <cell r="J121">
            <v>8.3158380017862299E-3</v>
          </cell>
          <cell r="K121">
            <v>1.1003028776441189E-3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T-Plg-DSL-mix_S2</v>
          </cell>
          <cell r="I122">
            <v>0.16608191410801415</v>
          </cell>
          <cell r="J122">
            <v>7.2338225017470947E-2</v>
          </cell>
          <cell r="K122">
            <v>3.7676567041169799E-3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T-Plg-DSL-mix_S3</v>
          </cell>
          <cell r="I123">
            <v>624.85454661949507</v>
          </cell>
          <cell r="J123">
            <v>337.91587562563569</v>
          </cell>
          <cell r="K123">
            <v>45.073169023327708</v>
          </cell>
        </row>
        <row r="124">
          <cell r="B124" t="str">
            <v>CO2_T</v>
          </cell>
          <cell r="C124" t="str">
            <v>VAR_fout</v>
          </cell>
          <cell r="D124" t="str">
            <v>T_B_c-ICEDSL-S1</v>
          </cell>
          <cell r="I124">
            <v>0.1036782448454463</v>
          </cell>
          <cell r="J124">
            <v>0.18399411856855061</v>
          </cell>
          <cell r="K124">
            <v>8.0184668934470335E-2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T-Plg-DSL-mix_S4</v>
          </cell>
          <cell r="I125">
            <v>10.232077885093853</v>
          </cell>
          <cell r="J125">
            <v>2.7958438354099875</v>
          </cell>
          <cell r="K125">
            <v>3.8741168446465501E-3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T_B_c-ICEDSL-S2</v>
          </cell>
          <cell r="I126">
            <v>18.725567689166599</v>
          </cell>
          <cell r="J126">
            <v>3.3798874593118535</v>
          </cell>
          <cell r="K126">
            <v>3.1226797770813719E-2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T_B_c-ICEDSL-S3</v>
          </cell>
          <cell r="I127">
            <v>8.8168758966639302</v>
          </cell>
          <cell r="J127">
            <v>8.1432835826085892</v>
          </cell>
          <cell r="K127">
            <v>1.91410313823663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T_B_c-ICEDSL-S4</v>
          </cell>
          <cell r="I128">
            <v>1.32457404001331E-4</v>
          </cell>
          <cell r="J128">
            <v>1.3382102457885401E-4</v>
          </cell>
        </row>
        <row r="129">
          <cell r="B129" t="str">
            <v>CO2_T</v>
          </cell>
          <cell r="C129" t="str">
            <v>VAR_fout</v>
          </cell>
          <cell r="D129" t="str">
            <v>T_B_u-ICENGA-S1</v>
          </cell>
          <cell r="I129">
            <v>5.5414416239052459E-2</v>
          </cell>
          <cell r="J129">
            <v>7.1206311081252072E-3</v>
          </cell>
          <cell r="K129">
            <v>1.8566116012121898E-3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T_B_u-ICENGA-S2</v>
          </cell>
          <cell r="I130">
            <v>1.2596128621572611E-2</v>
          </cell>
          <cell r="J130">
            <v>1.1285015500593441E-2</v>
          </cell>
          <cell r="K130">
            <v>2.964365300691264E-3</v>
          </cell>
        </row>
        <row r="131">
          <cell r="B131" t="str">
            <v>CO2_T</v>
          </cell>
          <cell r="C131" t="str">
            <v>VAR_fout</v>
          </cell>
          <cell r="D131" t="str">
            <v>T_B_c-ICEDSLEXT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T_B_u-ICENGA-S3</v>
          </cell>
          <cell r="I132">
            <v>0.55302149978811521</v>
          </cell>
          <cell r="J132">
            <v>0.66370040235971395</v>
          </cell>
          <cell r="K132">
            <v>3.93992072372195E-2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T_B_u-ICENGA-S4</v>
          </cell>
          <cell r="I133">
            <v>1.13712431854635E-4</v>
          </cell>
          <cell r="J133">
            <v>5.2949364899110003E-5</v>
          </cell>
        </row>
        <row r="134">
          <cell r="B134" t="str">
            <v>CO2_T</v>
          </cell>
          <cell r="C134" t="str">
            <v>VAR_comnet</v>
          </cell>
          <cell r="D134" t="str">
            <v>-</v>
          </cell>
          <cell r="I134">
            <v>4628.5617464083398</v>
          </cell>
          <cell r="J134">
            <v>2496.58520419549</v>
          </cell>
          <cell r="K134">
            <v>444.04906823452097</v>
          </cell>
        </row>
        <row r="135">
          <cell r="B135" t="str">
            <v>CO2</v>
          </cell>
          <cell r="C135" t="str">
            <v>VAR_fout</v>
          </cell>
          <cell r="D135" t="str">
            <v>EWSTINCCS</v>
          </cell>
          <cell r="J135">
            <v>-653.907402028143</v>
          </cell>
          <cell r="K135">
            <v>-2196.8002275230201</v>
          </cell>
        </row>
        <row r="136">
          <cell r="B136" t="str">
            <v>CO2</v>
          </cell>
          <cell r="C136" t="str">
            <v>VAR_fout</v>
          </cell>
          <cell r="D136" t="str">
            <v>othGHG</v>
          </cell>
          <cell r="I136">
            <v>6302.6556819401303</v>
          </cell>
          <cell r="J136">
            <v>5526.3946844328602</v>
          </cell>
          <cell r="K136">
            <v>4037.7431961740699</v>
          </cell>
        </row>
        <row r="137">
          <cell r="B137" t="str">
            <v>CO2</v>
          </cell>
          <cell r="C137" t="str">
            <v>VAR_fout</v>
          </cell>
          <cell r="D137" t="str">
            <v>D-ICOA</v>
          </cell>
          <cell r="I137">
            <v>7.0676975797685599E-3</v>
          </cell>
          <cell r="J137">
            <v>2.3617898125979499E-2</v>
          </cell>
          <cell r="K137">
            <v>5.8283801411902498E-3</v>
          </cell>
        </row>
        <row r="138">
          <cell r="B138" t="str">
            <v>CO2</v>
          </cell>
          <cell r="C138" t="str">
            <v>VAR_fout</v>
          </cell>
          <cell r="D138" t="str">
            <v>CHPWSTCCS</v>
          </cell>
          <cell r="J138">
            <v>-729.42040532327201</v>
          </cell>
          <cell r="K138">
            <v>-2096.0715884688002</v>
          </cell>
        </row>
        <row r="139">
          <cell r="B139" t="str">
            <v>CO2</v>
          </cell>
          <cell r="C139" t="str">
            <v>VAR_fout</v>
          </cell>
          <cell r="D139" t="str">
            <v>D-ENGA</v>
          </cell>
        </row>
        <row r="140">
          <cell r="B140" t="str">
            <v>CO2</v>
          </cell>
          <cell r="C140" t="str">
            <v>VAR_fout</v>
          </cell>
          <cell r="D140" t="str">
            <v>D-ILFO</v>
          </cell>
          <cell r="I140">
            <v>328.32846694621003</v>
          </cell>
          <cell r="J140">
            <v>278.08893471683899</v>
          </cell>
        </row>
        <row r="141">
          <cell r="B141" t="str">
            <v>CO2</v>
          </cell>
          <cell r="C141" t="str">
            <v>VAR_fout</v>
          </cell>
          <cell r="D141" t="str">
            <v>ITOT-CHPWSTCCS</v>
          </cell>
          <cell r="J141">
            <v>-9.1856890034599598E-2</v>
          </cell>
          <cell r="K141">
            <v>-351.92670836106402</v>
          </cell>
        </row>
        <row r="142">
          <cell r="B142" t="str">
            <v>CO2</v>
          </cell>
          <cell r="C142" t="str">
            <v>VAR_fout</v>
          </cell>
          <cell r="D142" t="str">
            <v>ITOT-CHPNGACCS</v>
          </cell>
          <cell r="J142">
            <v>-0.112317444007572</v>
          </cell>
          <cell r="K142">
            <v>-38.0140829573376</v>
          </cell>
        </row>
        <row r="143">
          <cell r="B143" t="str">
            <v>CO2</v>
          </cell>
          <cell r="C143" t="str">
            <v>VAR_fout</v>
          </cell>
          <cell r="D143" t="str">
            <v>D-TDSL</v>
          </cell>
          <cell r="I143">
            <v>2928.80908253287</v>
          </cell>
          <cell r="J143">
            <v>1552.8460568775799</v>
          </cell>
          <cell r="K143">
            <v>4.7538930764008098</v>
          </cell>
        </row>
        <row r="144">
          <cell r="B144" t="str">
            <v>CO2</v>
          </cell>
          <cell r="C144" t="str">
            <v>VAR_fout</v>
          </cell>
          <cell r="D144" t="str">
            <v>ITOT-PROCESSCO2</v>
          </cell>
          <cell r="I144">
            <v>2085.5349635673301</v>
          </cell>
          <cell r="J144">
            <v>2077.4128901999502</v>
          </cell>
          <cell r="K144">
            <v>2063.7486455502899</v>
          </cell>
        </row>
        <row r="145">
          <cell r="B145" t="str">
            <v>CO2</v>
          </cell>
          <cell r="C145" t="str">
            <v>VAR_fout</v>
          </cell>
          <cell r="D145" t="str">
            <v>D-ELFO</v>
          </cell>
          <cell r="I145">
            <v>12.5612386595303</v>
          </cell>
          <cell r="J145">
            <v>98.649927062563194</v>
          </cell>
          <cell r="K145">
            <v>2.5627079536286499E-4</v>
          </cell>
        </row>
        <row r="146">
          <cell r="B146" t="str">
            <v>CO2</v>
          </cell>
          <cell r="C146" t="str">
            <v>VAR_fout</v>
          </cell>
          <cell r="D146" t="str">
            <v>D-TNGA</v>
          </cell>
          <cell r="I146">
            <v>5.2757388630570698</v>
          </cell>
          <cell r="J146">
            <v>3.5760404505605599</v>
          </cell>
          <cell r="K146">
            <v>0.21667184015171601</v>
          </cell>
        </row>
        <row r="147">
          <cell r="B147" t="str">
            <v>CO2</v>
          </cell>
          <cell r="C147" t="str">
            <v>VAR_fout</v>
          </cell>
          <cell r="D147" t="str">
            <v>D-SNGA</v>
          </cell>
          <cell r="I147">
            <v>781.00899216209905</v>
          </cell>
          <cell r="J147">
            <v>656.210957732618</v>
          </cell>
          <cell r="K147">
            <v>607.69145886259003</v>
          </cell>
        </row>
        <row r="148">
          <cell r="B148" t="str">
            <v>CO2</v>
          </cell>
          <cell r="C148" t="str">
            <v>VAR_fout</v>
          </cell>
          <cell r="D148" t="str">
            <v>CO2compabroad</v>
          </cell>
          <cell r="I148">
            <v>-1524.06789710824</v>
          </cell>
          <cell r="J148">
            <v>-222.457469352071</v>
          </cell>
          <cell r="K148">
            <v>-4037.7431961740699</v>
          </cell>
        </row>
        <row r="149">
          <cell r="B149" t="str">
            <v>CO2</v>
          </cell>
          <cell r="C149" t="str">
            <v>VAR_fout</v>
          </cell>
          <cell r="D149" t="str">
            <v>D-RNGA</v>
          </cell>
          <cell r="I149">
            <v>1373.00770566914</v>
          </cell>
          <cell r="J149">
            <v>782.86829294067695</v>
          </cell>
          <cell r="K149">
            <v>446.38523454659298</v>
          </cell>
        </row>
        <row r="150">
          <cell r="B150" t="str">
            <v>CO2</v>
          </cell>
          <cell r="C150" t="str">
            <v>VAR_fout</v>
          </cell>
          <cell r="D150" t="str">
            <v>D-IHFO</v>
          </cell>
          <cell r="I150">
            <v>8.2206748295773902E-3</v>
          </cell>
          <cell r="J150">
            <v>2.9885715028613501E-2</v>
          </cell>
        </row>
        <row r="151">
          <cell r="B151" t="str">
            <v>CO2</v>
          </cell>
          <cell r="C151" t="str">
            <v>VAR_fout</v>
          </cell>
          <cell r="D151" t="str">
            <v>D-SLFO</v>
          </cell>
          <cell r="I151">
            <v>640.03308346721496</v>
          </cell>
          <cell r="J151">
            <v>265.02465707333499</v>
          </cell>
        </row>
        <row r="152">
          <cell r="B152" t="str">
            <v>CO2</v>
          </cell>
          <cell r="C152" t="str">
            <v>VAR_fout</v>
          </cell>
          <cell r="D152" t="str">
            <v>D-RCOA</v>
          </cell>
        </row>
        <row r="153">
          <cell r="B153" t="str">
            <v>CO2</v>
          </cell>
          <cell r="C153" t="str">
            <v>VAR_fout</v>
          </cell>
          <cell r="D153" t="str">
            <v>ITOT-CHPWODCCS</v>
          </cell>
          <cell r="J153">
            <v>-438.51421332867898</v>
          </cell>
          <cell r="K153">
            <v>-804.77359758220803</v>
          </cell>
        </row>
        <row r="154">
          <cell r="B154" t="str">
            <v>CO2</v>
          </cell>
          <cell r="C154" t="str">
            <v>VAR_fout</v>
          </cell>
          <cell r="D154" t="str">
            <v>D-RLFO</v>
          </cell>
          <cell r="I154">
            <v>1100.49005209293</v>
          </cell>
          <cell r="J154">
            <v>406.97928519984299</v>
          </cell>
        </row>
        <row r="155">
          <cell r="B155" t="str">
            <v>CO2</v>
          </cell>
          <cell r="C155" t="str">
            <v>VAR_fout</v>
          </cell>
          <cell r="D155" t="str">
            <v>D-TGSL</v>
          </cell>
          <cell r="I155">
            <v>1217.7970484775999</v>
          </cell>
          <cell r="J155">
            <v>566.02120823161499</v>
          </cell>
          <cell r="K155">
            <v>12.0479331157728</v>
          </cell>
        </row>
        <row r="156">
          <cell r="B156" t="str">
            <v>CO2</v>
          </cell>
          <cell r="C156" t="str">
            <v>VAR_fout</v>
          </cell>
          <cell r="D156" t="str">
            <v>EWOD-CCS</v>
          </cell>
          <cell r="J156">
            <v>-3.6757820608345398E-2</v>
          </cell>
          <cell r="K156">
            <v>-0.23182988275486699</v>
          </cell>
        </row>
        <row r="157">
          <cell r="B157" t="str">
            <v>CO2</v>
          </cell>
          <cell r="C157" t="str">
            <v>VAR_fout</v>
          </cell>
          <cell r="D157" t="str">
            <v>ITOT-PROCESSCO2CCS</v>
          </cell>
          <cell r="J157">
            <v>-9.1045215106178804E-3</v>
          </cell>
          <cell r="K157">
            <v>-1031.8744666984001</v>
          </cell>
        </row>
        <row r="158">
          <cell r="B158" t="str">
            <v>CO2</v>
          </cell>
          <cell r="C158" t="str">
            <v>VAR_fout</v>
          </cell>
          <cell r="D158" t="str">
            <v>D-IWST</v>
          </cell>
          <cell r="I158">
            <v>1001.7548061771899</v>
          </cell>
          <cell r="J158">
            <v>996.69825530307401</v>
          </cell>
          <cell r="K158">
            <v>986.58512327164897</v>
          </cell>
        </row>
        <row r="159">
          <cell r="B159" t="str">
            <v>CO2</v>
          </cell>
          <cell r="C159" t="str">
            <v>VAR_fout</v>
          </cell>
          <cell r="D159" t="str">
            <v>SUP_NGAH2CCS</v>
          </cell>
          <cell r="K159">
            <v>-7.7929308548318902E-3</v>
          </cell>
        </row>
        <row r="160">
          <cell r="B160" t="str">
            <v>CO2</v>
          </cell>
          <cell r="C160" t="str">
            <v>VAR_fout</v>
          </cell>
          <cell r="D160" t="str">
            <v>D-TKER</v>
          </cell>
          <cell r="I160">
            <v>188.417423508403</v>
          </cell>
          <cell r="J160">
            <v>156.67765893804599</v>
          </cell>
          <cell r="K160">
            <v>1.4043189733258999E-6</v>
          </cell>
        </row>
        <row r="161">
          <cell r="B161" t="str">
            <v>CO2</v>
          </cell>
          <cell r="C161" t="str">
            <v>VAR_fout</v>
          </cell>
          <cell r="D161" t="str">
            <v>D-INGA</v>
          </cell>
          <cell r="I161">
            <v>588.16312711816101</v>
          </cell>
          <cell r="J161">
            <v>359.21038380469298</v>
          </cell>
          <cell r="K161">
            <v>57.703100989530903</v>
          </cell>
        </row>
        <row r="162">
          <cell r="B162" t="str">
            <v>CO2</v>
          </cell>
          <cell r="C162" t="str">
            <v>VAR_fout</v>
          </cell>
          <cell r="D162" t="str">
            <v>SUP_DAC</v>
          </cell>
          <cell r="J162">
            <v>-3.8297266387882797E-4</v>
          </cell>
          <cell r="K162">
            <v>-1.34723267814154E-3</v>
          </cell>
        </row>
        <row r="163">
          <cell r="B163" t="str">
            <v>CO2</v>
          </cell>
          <cell r="C163" t="str">
            <v>VAR_fout</v>
          </cell>
          <cell r="D163" t="str">
            <v>D-EWST</v>
          </cell>
          <cell r="I163">
            <v>2240.4529553464899</v>
          </cell>
          <cell r="J163">
            <v>2288.7594572550502</v>
          </cell>
          <cell r="K163">
            <v>2340.5634572173499</v>
          </cell>
        </row>
        <row r="164">
          <cell r="B164" t="str">
            <v>CO2</v>
          </cell>
          <cell r="C164" t="str">
            <v>VAR_comnet</v>
          </cell>
          <cell r="D164" t="str">
            <v>-</v>
          </cell>
          <cell r="I164">
            <v>19270.2377577925</v>
          </cell>
          <cell r="J164">
            <v>13970.922217085899</v>
          </cell>
          <cell r="K164">
            <v>-3.2555151355308101E-6</v>
          </cell>
        </row>
        <row r="165">
          <cell r="B165" t="str">
            <v>CO2</v>
          </cell>
          <cell r="C165" t="str">
            <v>EQ_combalM</v>
          </cell>
          <cell r="D165" t="str">
            <v>-</v>
          </cell>
          <cell r="I165">
            <v>-0.20294423461060601</v>
          </cell>
          <cell r="J165">
            <v>-0.27831541994827202</v>
          </cell>
          <cell r="K165">
            <v>-0.54820435793613997</v>
          </cell>
        </row>
        <row r="166">
          <cell r="B166" t="str">
            <v>CO2_X</v>
          </cell>
          <cell r="C166" t="str">
            <v>VAR_fout</v>
          </cell>
          <cell r="D166" t="str">
            <v>D-CO2_O</v>
          </cell>
          <cell r="J166">
            <v>988.74788201508977</v>
          </cell>
          <cell r="K166">
            <v>4598.124835781241</v>
          </cell>
        </row>
        <row r="167">
          <cell r="B167" t="str">
            <v>CO2_X</v>
          </cell>
          <cell r="C167" t="str">
            <v>VAR_fin</v>
          </cell>
          <cell r="D167" t="str">
            <v>CO2EXP</v>
          </cell>
          <cell r="J167">
            <v>988.74788201508977</v>
          </cell>
          <cell r="K167">
            <v>4598.124835781241</v>
          </cell>
        </row>
        <row r="168">
          <cell r="B168" t="str">
            <v>CO2_X</v>
          </cell>
          <cell r="C168" t="str">
            <v>EQ_combalM</v>
          </cell>
          <cell r="D168" t="str">
            <v>-</v>
          </cell>
          <cell r="J168">
            <v>-4.3758626724687453</v>
          </cell>
          <cell r="K168">
            <v>6.7284875190858786</v>
          </cell>
        </row>
        <row r="169">
          <cell r="B169" t="str">
            <v>CO2seq</v>
          </cell>
          <cell r="C169" t="str">
            <v>VAR_fout</v>
          </cell>
          <cell r="D169" t="str">
            <v>CO2SINK</v>
          </cell>
          <cell r="J169">
            <v>833.33324900664979</v>
          </cell>
          <cell r="K169">
            <v>1904.7619694937277</v>
          </cell>
        </row>
        <row r="170">
          <cell r="B170" t="str">
            <v>CO2seq</v>
          </cell>
          <cell r="C170" t="str">
            <v>VAR_comnet</v>
          </cell>
          <cell r="D170" t="str">
            <v>-</v>
          </cell>
          <cell r="J170">
            <v>833.33324900664979</v>
          </cell>
          <cell r="K170">
            <v>1904.7619694937277</v>
          </cell>
        </row>
        <row r="171">
          <cell r="B171" t="str">
            <v>CO2_SECTOR</v>
          </cell>
          <cell r="C171" t="str">
            <v>VAR_fout</v>
          </cell>
          <cell r="D171" t="str">
            <v>CO2_IND</v>
          </cell>
          <cell r="I171">
            <v>4003.7966521812973</v>
          </cell>
          <cell r="J171">
            <v>3711.4639676377128</v>
          </cell>
          <cell r="K171">
            <v>3108.0427040477739</v>
          </cell>
        </row>
        <row r="172">
          <cell r="B172" t="str">
            <v>CO2_SECTOR</v>
          </cell>
          <cell r="C172" t="str">
            <v>VAR_fout</v>
          </cell>
          <cell r="D172" t="str">
            <v>CO2_RES</v>
          </cell>
          <cell r="I172">
            <v>2473.497757762068</v>
          </cell>
          <cell r="J172">
            <v>1189.8475781405193</v>
          </cell>
          <cell r="K172">
            <v>446.38524041697593</v>
          </cell>
        </row>
        <row r="173">
          <cell r="B173" t="str">
            <v>CO2_SECTOR</v>
          </cell>
          <cell r="C173" t="str">
            <v>VAR_fout</v>
          </cell>
          <cell r="D173" t="str">
            <v>CO2_TRA</v>
          </cell>
          <cell r="I173">
            <v>4337.530291193124</v>
          </cell>
          <cell r="J173">
            <v>2276.8184132132274</v>
          </cell>
          <cell r="K173">
            <v>17.018501141699314</v>
          </cell>
        </row>
        <row r="174">
          <cell r="B174" t="str">
            <v>CO2_SECTOR</v>
          </cell>
          <cell r="C174" t="str">
            <v>VAR_fout</v>
          </cell>
          <cell r="D174" t="str">
            <v>CO2_ELC</v>
          </cell>
          <cell r="I174">
            <v>2253.0141940060198</v>
          </cell>
          <cell r="J174">
            <v>2387.4093843176133</v>
          </cell>
          <cell r="K174">
            <v>2340.5637134881408</v>
          </cell>
        </row>
        <row r="175">
          <cell r="B175" t="str">
            <v>CO2_SECTOR</v>
          </cell>
          <cell r="C175" t="str">
            <v>VAR_fout</v>
          </cell>
          <cell r="D175" t="str">
            <v>CO2_SER</v>
          </cell>
          <cell r="I175">
            <v>1421.0420756293131</v>
          </cell>
          <cell r="J175">
            <v>921.23561480595288</v>
          </cell>
          <cell r="K175">
            <v>607.69146472505565</v>
          </cell>
        </row>
        <row r="176">
          <cell r="B176" t="str">
            <v>CO2_SECTOR</v>
          </cell>
          <cell r="C176" t="str">
            <v>VAR_fout</v>
          </cell>
          <cell r="D176" t="str">
            <v>CO2_ELCCCS</v>
          </cell>
          <cell r="I176">
            <v>2253.0141940060198</v>
          </cell>
          <cell r="J176">
            <v>1004.0447162468512</v>
          </cell>
          <cell r="K176">
            <v>-1952.540040760528</v>
          </cell>
        </row>
        <row r="177">
          <cell r="B177" t="str">
            <v>CO2_SECTOR</v>
          </cell>
          <cell r="C177" t="str">
            <v>VAR_fout</v>
          </cell>
          <cell r="D177" t="str">
            <v>CO2_H2CCS</v>
          </cell>
          <cell r="K177">
            <v>-7.7929308548318936E-3</v>
          </cell>
        </row>
        <row r="178">
          <cell r="B178" t="str">
            <v>CO2_SECTOR</v>
          </cell>
          <cell r="C178" t="str">
            <v>VAR_fout</v>
          </cell>
          <cell r="D178" t="str">
            <v>CO2_INDCCS</v>
          </cell>
          <cell r="I178">
            <v>4003.7965006591853</v>
          </cell>
          <cell r="J178">
            <v>3272.7364743912385</v>
          </cell>
          <cell r="K178">
            <v>881.45390338179993</v>
          </cell>
        </row>
        <row r="179">
          <cell r="B179" t="str">
            <v>CO2_SECTOR</v>
          </cell>
          <cell r="C179" t="str">
            <v>VAR_comnet</v>
          </cell>
          <cell r="D179" t="str">
            <v>-</v>
          </cell>
          <cell r="I179">
            <v>20745.691665437025</v>
          </cell>
          <cell r="J179">
            <v>14763.556148753116</v>
          </cell>
          <cell r="K179">
            <v>5448.6076935100655</v>
          </cell>
        </row>
        <row r="180">
          <cell r="B180" t="str">
            <v>CO2SC</v>
          </cell>
          <cell r="C180" t="str">
            <v>VAR_fout</v>
          </cell>
          <cell r="D180" t="str">
            <v>CO2S1</v>
          </cell>
          <cell r="I180">
            <v>6307.1990227535098</v>
          </cell>
          <cell r="J180">
            <v>6307.1990227535098</v>
          </cell>
          <cell r="K180">
            <v>6307.1990227535098</v>
          </cell>
        </row>
        <row r="181">
          <cell r="B181" t="str">
            <v>CO2SC</v>
          </cell>
          <cell r="C181" t="str">
            <v>VAR_fout</v>
          </cell>
          <cell r="D181" t="str">
            <v>CO2S2</v>
          </cell>
          <cell r="K181">
            <v>3.8105065937647499E-6</v>
          </cell>
        </row>
        <row r="182">
          <cell r="B182" t="str">
            <v>CO2SC</v>
          </cell>
          <cell r="C182" t="str">
            <v>VAR_fin</v>
          </cell>
          <cell r="D182" t="str">
            <v>CO2EXP</v>
          </cell>
          <cell r="J182">
            <v>988.74788201509102</v>
          </cell>
          <cell r="K182">
            <v>4598.1248357812601</v>
          </cell>
        </row>
        <row r="183">
          <cell r="B183" t="str">
            <v>CO2SC</v>
          </cell>
          <cell r="C183" t="str">
            <v>EQ_combalM</v>
          </cell>
          <cell r="D183" t="str">
            <v>-</v>
          </cell>
          <cell r="K183">
            <v>-6.6807567159639495E-8</v>
          </cell>
        </row>
        <row r="184">
          <cell r="B184" t="str">
            <v>CO2P</v>
          </cell>
          <cell r="C184" t="str">
            <v>VAR_fout</v>
          </cell>
          <cell r="D184" t="str">
            <v>ITOT-PROCESSCO2</v>
          </cell>
          <cell r="I184">
            <v>2085.5349635673278</v>
          </cell>
          <cell r="J184">
            <v>2077.412890199952</v>
          </cell>
          <cell r="K184">
            <v>2063.748645550289</v>
          </cell>
        </row>
        <row r="185">
          <cell r="B185" t="str">
            <v>CO2P</v>
          </cell>
          <cell r="C185" t="str">
            <v>VAR_comnet</v>
          </cell>
          <cell r="D185" t="str">
            <v>-</v>
          </cell>
          <cell r="I185">
            <v>2085.5349635673278</v>
          </cell>
          <cell r="J185">
            <v>2077.412890199952</v>
          </cell>
          <cell r="K185">
            <v>2063.748645550289</v>
          </cell>
        </row>
        <row r="186">
          <cell r="B186" t="str">
            <v>CO2_E</v>
          </cell>
          <cell r="C186" t="str">
            <v>VAR_fout</v>
          </cell>
          <cell r="D186" t="str">
            <v>EWSTINCCS</v>
          </cell>
          <cell r="J186">
            <v>706.19705690998603</v>
          </cell>
          <cell r="K186">
            <v>2325.9482235201899</v>
          </cell>
        </row>
        <row r="187">
          <cell r="B187" t="str">
            <v>CO2_E</v>
          </cell>
          <cell r="C187" t="str">
            <v>VAR_fout</v>
          </cell>
          <cell r="D187" t="str">
            <v>CHPWSTCCS</v>
          </cell>
          <cell r="J187">
            <v>819.573489127274</v>
          </cell>
          <cell r="K187">
            <v>2355.1366162570798</v>
          </cell>
        </row>
        <row r="188">
          <cell r="B188" t="str">
            <v>CO2_E</v>
          </cell>
          <cell r="C188" t="str">
            <v>VAR_fout</v>
          </cell>
          <cell r="D188" t="str">
            <v>HPLNGA</v>
          </cell>
        </row>
        <row r="189">
          <cell r="B189" t="str">
            <v>CO2_E</v>
          </cell>
          <cell r="C189" t="str">
            <v>VAR_fout</v>
          </cell>
          <cell r="D189" t="str">
            <v>CHPWST</v>
          </cell>
          <cell r="I189">
            <v>2535.9315050606301</v>
          </cell>
          <cell r="J189">
            <v>1711.3071475023501</v>
          </cell>
          <cell r="K189">
            <v>1.7125119932263198E-2</v>
          </cell>
        </row>
        <row r="190">
          <cell r="B190" t="str">
            <v>CO2_E</v>
          </cell>
          <cell r="C190" t="str">
            <v>VAR_fout</v>
          </cell>
          <cell r="D190" t="str">
            <v>CHPNGA</v>
          </cell>
        </row>
        <row r="191">
          <cell r="B191" t="str">
            <v>CO2_E</v>
          </cell>
          <cell r="C191" t="str">
            <v>VAR_fout</v>
          </cell>
          <cell r="D191" t="str">
            <v>EWSTINC</v>
          </cell>
          <cell r="I191">
            <v>1944.9744157765399</v>
          </cell>
          <cell r="J191">
            <v>1340.441300192</v>
          </cell>
          <cell r="K191">
            <v>2.5034817645691199E-2</v>
          </cell>
        </row>
        <row r="192">
          <cell r="B192" t="str">
            <v>CO2_E</v>
          </cell>
          <cell r="C192" t="str">
            <v>VAR_fout</v>
          </cell>
          <cell r="D192" t="str">
            <v>ENGA-GTCC</v>
          </cell>
          <cell r="K192">
            <v>19.2724037475827</v>
          </cell>
        </row>
        <row r="193">
          <cell r="B193" t="str">
            <v>CO2_E</v>
          </cell>
          <cell r="C193" t="str">
            <v>VAR_fout</v>
          </cell>
          <cell r="D193" t="str">
            <v>HPLOIL</v>
          </cell>
          <cell r="I193">
            <v>12.317366018467499</v>
          </cell>
          <cell r="J193">
            <v>1.3185592774663201E-3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1.51348930365936E-2</v>
          </cell>
          <cell r="J194">
            <v>6.4766503622845599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K195">
            <v>21.307424533454999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1.8964127039057501E-2</v>
          </cell>
          <cell r="J196">
            <v>90.5244728527028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4493.2573858757196</v>
          </cell>
          <cell r="J197">
            <v>4674.5214355058797</v>
          </cell>
          <cell r="K197">
            <v>4721.7068279958903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36.425390265123298</v>
          </cell>
          <cell r="J198">
            <v>105.266001611869</v>
          </cell>
          <cell r="K198">
            <v>66.6305376313707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687.57260622966498</v>
          </cell>
          <cell r="J199">
            <v>390.38724594522898</v>
          </cell>
          <cell r="K199">
            <v>85.818041331188795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J200">
            <v>0.12022719016737</v>
          </cell>
          <cell r="K200">
            <v>485.45081894544302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350.16583886856398</v>
          </cell>
          <cell r="J201">
            <v>348.753212134433</v>
          </cell>
          <cell r="K201">
            <v>75.308702953474096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0.130861288949842</v>
          </cell>
          <cell r="K202">
            <v>42.808393104980901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1.18498366420417E-2</v>
          </cell>
          <cell r="J203">
            <v>3.6035223407805399E-2</v>
          </cell>
          <cell r="K203">
            <v>2.2233239881600999E-2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7.0676975797685599E-3</v>
          </cell>
          <cell r="J204">
            <v>2.3617898125979499E-2</v>
          </cell>
          <cell r="K204">
            <v>5.8283801411902498E-3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47.987879268742802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1001.52415220522</v>
          </cell>
          <cell r="J206">
            <v>996.21853467415303</v>
          </cell>
          <cell r="K206">
            <v>501.11688064769203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1.68136206092033E-2</v>
          </cell>
          <cell r="J207">
            <v>4.6118162437305101E-3</v>
          </cell>
          <cell r="K207">
            <v>8.9740916946511404E-3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0.23073356388091701</v>
          </cell>
          <cell r="J208">
            <v>0.35981362928452199</v>
          </cell>
          <cell r="K208">
            <v>1.75861669105313E-2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8.0833799795867103E-3</v>
          </cell>
          <cell r="J209">
            <v>2.93865887589605E-2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2123.95041493601</v>
          </cell>
          <cell r="J210">
            <v>1841.32954800062</v>
          </cell>
          <cell r="K210">
            <v>1257.18799649278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9.0077146123072901E-8</v>
          </cell>
          <cell r="J4">
            <v>9.5280587736237096E-8</v>
          </cell>
          <cell r="K4">
            <v>9.5244350733456202E-6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1.9873006242676401E-6</v>
          </cell>
          <cell r="K5">
            <v>1.38665737615241E-8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4.9242933947121899E-7</v>
          </cell>
          <cell r="J6">
            <v>2.01396517805532</v>
          </cell>
          <cell r="K6">
            <v>0.98777966227108704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1.86795625612329E-7</v>
          </cell>
          <cell r="J7">
            <v>1.6572955142506299E-5</v>
          </cell>
          <cell r="K7">
            <v>1.91072082786184E-5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4.6571484824113602E-8</v>
          </cell>
          <cell r="J8">
            <v>6.92574544670095E-8</v>
          </cell>
          <cell r="K8">
            <v>1.05107417361007E-7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1.7267696699523199E-4</v>
          </cell>
          <cell r="K9">
            <v>5.4411046457716003E-8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0.14829520102683</v>
          </cell>
          <cell r="J10">
            <v>1.3824536042163601E-2</v>
          </cell>
          <cell r="K10">
            <v>0.107585891204994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8.1354998039989705E-8</v>
          </cell>
          <cell r="J11">
            <v>1.45109778578718E-7</v>
          </cell>
          <cell r="K11">
            <v>3.8432178671606597E-5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1.03895128919168E-7</v>
          </cell>
          <cell r="J12">
            <v>5.28871868057443E-2</v>
          </cell>
          <cell r="K12">
            <v>5.0808808687129003E-2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1.0305131541887101E-7</v>
          </cell>
          <cell r="J13">
            <v>6.1045898067448297E-8</v>
          </cell>
          <cell r="K13">
            <v>2.78838624325748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1.0493740198307399E-8</v>
          </cell>
          <cell r="J14">
            <v>1.31561485815768E-8</v>
          </cell>
          <cell r="K14">
            <v>2.2542128063379001E-8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1.0785931327369E-6</v>
          </cell>
          <cell r="J15">
            <v>0.15728371240476099</v>
          </cell>
          <cell r="K15">
            <v>9.1333580698164003E-3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2.7293752059003999E-7</v>
          </cell>
          <cell r="J16">
            <v>3.4046009552843202E-5</v>
          </cell>
          <cell r="K16">
            <v>1.0562861949125601E-2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3.1411751505138199E-6</v>
          </cell>
          <cell r="J17">
            <v>0.43564562583995498</v>
          </cell>
          <cell r="K17">
            <v>5.33562293464074E-8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1.95764288232096E-8</v>
          </cell>
          <cell r="J18">
            <v>2.5630125336201801E-8</v>
          </cell>
          <cell r="K18">
            <v>4.3417705729407997E-8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4.2415258842474802E-7</v>
          </cell>
          <cell r="J19">
            <v>9.6704909820517396E-2</v>
          </cell>
          <cell r="K19">
            <v>0.250576564973018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1.1485454715668501E-8</v>
          </cell>
          <cell r="J20">
            <v>1.5299493627341299E-8</v>
          </cell>
          <cell r="K20">
            <v>2.5732121714556499E-8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1.4368839557779101E-6</v>
          </cell>
          <cell r="J21">
            <v>9.0147768519370597E-7</v>
          </cell>
          <cell r="K21">
            <v>1.5932228621380699E-6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4.8767881437384903E-5</v>
          </cell>
          <cell r="K22">
            <v>1.1452152826945001E-5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4.2481463664104E-8</v>
          </cell>
          <cell r="K23">
            <v>8.4759066171528295E-6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0.32124398040921198</v>
          </cell>
          <cell r="J24">
            <v>0.56741607483513601</v>
          </cell>
          <cell r="K24">
            <v>0.73207607537335295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1.7292056605685801E-6</v>
          </cell>
          <cell r="J25">
            <v>6.7637728118472397E-7</v>
          </cell>
          <cell r="K25">
            <v>4.42778867320692E-8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7.2755088772240406E-2</v>
          </cell>
          <cell r="J26">
            <v>0.15464986489538399</v>
          </cell>
          <cell r="K26">
            <v>7.6925750905090698E-2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4.5963758003792404E-6</v>
          </cell>
          <cell r="J27">
            <v>0.15570512629115399</v>
          </cell>
          <cell r="K27">
            <v>9.0410446234199596E-3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5.0700356310228198E-8</v>
          </cell>
          <cell r="J28">
            <v>6.6503772761979205E-7</v>
          </cell>
          <cell r="K28">
            <v>7.5610037368562704E-7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8.3640269814689096E-8</v>
          </cell>
          <cell r="J29">
            <v>1.11888840320333E-7</v>
          </cell>
          <cell r="K29">
            <v>3.7243608670048599E-7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3.0091242834576899E-7</v>
          </cell>
          <cell r="J30">
            <v>6.0739634710225197E-5</v>
          </cell>
          <cell r="K30">
            <v>1.16568467709743E-2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1.21019740181524E-4</v>
          </cell>
          <cell r="K31">
            <v>1.3378426110569801E-4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1.27716587253467E-7</v>
          </cell>
          <cell r="J32">
            <v>1.7956127686753728E-7</v>
          </cell>
          <cell r="K32">
            <v>9.6547449650917367E-6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1.9873006242676401E-6</v>
          </cell>
          <cell r="K33">
            <v>2.0011671980291602E-6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7.0222218622904452E-7</v>
          </cell>
          <cell r="J34">
            <v>2.0139658639687097</v>
          </cell>
          <cell r="K34">
            <v>3.0017452423252213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2.422251707611622E-7</v>
          </cell>
          <cell r="J35">
            <v>1.6769061782066101E-5</v>
          </cell>
          <cell r="K35">
            <v>3.5780154515143383E-5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1.0275121480729943</v>
          </cell>
          <cell r="J36">
            <v>1.027512217330449</v>
          </cell>
          <cell r="K36">
            <v>0.72467700921164613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1.7267696699523199E-4</v>
          </cell>
          <cell r="K37">
            <v>1.7273137804168999E-4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0.29244707956126909</v>
          </cell>
          <cell r="J38">
            <v>0.28100888947021396</v>
          </cell>
          <cell r="K38">
            <v>0.26874379320803488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2.1392143420489501E-7</v>
          </cell>
          <cell r="J39">
            <v>3.5903121278361301E-7</v>
          </cell>
          <cell r="K39">
            <v>3.8791209884390299E-5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8.0097495870427318E-2</v>
          </cell>
          <cell r="J40">
            <v>9.2010935530024998E-2</v>
          </cell>
          <cell r="K40">
            <v>0.10369604367525566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7.5741179883866694E-2</v>
          </cell>
          <cell r="J41">
            <v>7.5741274239268394E-2</v>
          </cell>
          <cell r="K41">
            <v>1.66926919494588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0.95961770357538423</v>
          </cell>
          <cell r="J42">
            <v>0.95961771673153284</v>
          </cell>
          <cell r="K42">
            <v>0.48125339562760483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1.6974438986471701E-6</v>
          </cell>
          <cell r="J43">
            <v>0.15728540984865899</v>
          </cell>
          <cell r="K43">
            <v>0.166418090886093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3.5518610081757561E-7</v>
          </cell>
          <cell r="J44">
            <v>3.4337066759338773E-5</v>
          </cell>
          <cell r="K44">
            <v>1.0597009105132364E-2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3.1832002931672301E-6</v>
          </cell>
          <cell r="J45">
            <v>0.435648809040248</v>
          </cell>
          <cell r="K45">
            <v>0.43564886239647699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2.235052268404337</v>
          </cell>
          <cell r="J46">
            <v>2.2350522940344622</v>
          </cell>
          <cell r="K46">
            <v>1.1208906383158879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0.16239880715090735</v>
          </cell>
          <cell r="J47">
            <v>0.18789222833451072</v>
          </cell>
          <cell r="K47">
            <v>0.34728175979044529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3.0972400188813749</v>
          </cell>
          <cell r="J48">
            <v>3.0972400341808686</v>
          </cell>
          <cell r="K48">
            <v>1.5532823005532901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5.162118599463684E-6</v>
          </cell>
          <cell r="J49">
            <v>4.547313230885016E-6</v>
          </cell>
          <cell r="K49">
            <v>3.7465326822634474E-6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4.8767881437384903E-5</v>
          </cell>
          <cell r="K50">
            <v>2.8142220974255752E-5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4.2481463664104E-8</v>
          </cell>
          <cell r="K51">
            <v>8.5183880808169298E-6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0.32545725475280329</v>
          </cell>
          <cell r="J52">
            <v>0.89268691878895678</v>
          </cell>
          <cell r="K52">
            <v>1.5564903661166973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2.9899601164187772E-6</v>
          </cell>
          <cell r="J53">
            <v>2.4369342511547908E-6</v>
          </cell>
          <cell r="K53">
            <v>2.0799780994514959E-6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0.29953318727258887</v>
          </cell>
          <cell r="J54">
            <v>0.3093959395528848</v>
          </cell>
          <cell r="K54">
            <v>0.28955115835932405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8.2655662186432099E-6</v>
          </cell>
          <cell r="J55">
            <v>0.15571339185737201</v>
          </cell>
          <cell r="K55">
            <v>0.16475443648079199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3.4974398851507493E-6</v>
          </cell>
          <cell r="J56">
            <v>1.9241995855502798E-6</v>
          </cell>
          <cell r="K56">
            <v>1.4475813489676693E-6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1.9844835857505565</v>
          </cell>
          <cell r="J57">
            <v>1.9844836976393967</v>
          </cell>
          <cell r="K57">
            <v>1.0954601372553034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3.8992298869500078E-7</v>
          </cell>
          <cell r="J58">
            <v>6.1065271423951713E-5</v>
          </cell>
          <cell r="K58">
            <v>1.1717688354092736E-2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1.21019740181524E-4</v>
          </cell>
          <cell r="K59">
            <v>2.2114789186487475E-4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9.0311978074180549E-4</v>
          </cell>
          <cell r="K60">
            <v>1.2511494385192687E-2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2.9006546846707202E-3</v>
          </cell>
          <cell r="K61">
            <v>12.047933115772846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6.9378828644495487E-3</v>
          </cell>
          <cell r="K62">
            <v>4.7538952340280609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0.15482491591663455</v>
          </cell>
          <cell r="J63">
            <v>0.14876940863279395</v>
          </cell>
          <cell r="K63">
            <v>0.14227612382384974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0.49003756667869131</v>
          </cell>
          <cell r="J64">
            <v>0.49003809753826344</v>
          </cell>
          <cell r="K64">
            <v>10.799999739981921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2.0205683810482696E-6</v>
          </cell>
          <cell r="J65">
            <v>2.1249241482020264E-6</v>
          </cell>
          <cell r="K65">
            <v>2.1932506551629214E-6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11.593471420634737</v>
          </cell>
          <cell r="J66">
            <v>9.7453458895720111</v>
          </cell>
          <cell r="K66">
            <v>14.833239681671357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7.7929308548318936E-3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3.8297266387882835E-4</v>
          </cell>
          <cell r="K68">
            <v>1.3472326781415449E-3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1.1383439213620799E-4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1.0712252549673298E-4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13.310519199804363</v>
          </cell>
          <cell r="J71">
            <v>12.789977641936202</v>
          </cell>
          <cell r="K71">
            <v>12.231746839944543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5.9492370295240704E-5</v>
          </cell>
          <cell r="K72">
            <v>6.5429660002271233E-5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13.310519199804363</v>
          </cell>
          <cell r="J73">
            <v>12.789918587887902</v>
          </cell>
          <cell r="K73">
            <v>12.231681616741824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1.6012762069890203E-5</v>
          </cell>
          <cell r="K74">
            <v>2.2183500682965761E-4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6.072403410106977E-5</v>
          </cell>
          <cell r="J75">
            <v>5.2824654593375009E-5</v>
          </cell>
          <cell r="K75">
            <v>4.1093245026427887E-5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9.3541469203139715E-2</v>
          </cell>
          <cell r="J77">
            <v>6.3404972527669495E-2</v>
          </cell>
          <cell r="K77">
            <v>3.8416992934701415E-3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13.847677165994652</v>
          </cell>
          <cell r="J78">
            <v>11.634946059088973</v>
          </cell>
          <cell r="K78">
            <v>10.774671256428896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24.344108256545102</v>
          </cell>
          <cell r="J79">
            <v>13.880643491855979</v>
          </cell>
          <cell r="K79">
            <v>7.9146318182020057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10.4284242396837</v>
          </cell>
          <cell r="J80">
            <v>6.3689784362534345</v>
          </cell>
          <cell r="K80">
            <v>1.0231046274739513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328.32846694621003</v>
          </cell>
          <cell r="J82">
            <v>278.08893471683899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5.2757388630570698</v>
          </cell>
          <cell r="J83">
            <v>3.5760404505605599</v>
          </cell>
          <cell r="K83">
            <v>0.21667184015171601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781.00899216209905</v>
          </cell>
          <cell r="J84">
            <v>656.210957732618</v>
          </cell>
          <cell r="K84">
            <v>607.69145886259003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1373.00770566914</v>
          </cell>
          <cell r="J85">
            <v>782.86829294067695</v>
          </cell>
          <cell r="K85">
            <v>446.38523454659298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640.03308346721496</v>
          </cell>
          <cell r="J86">
            <v>265.02465707333499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1100.49005209293</v>
          </cell>
          <cell r="J87">
            <v>406.97928519984299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1217.7970484775999</v>
          </cell>
          <cell r="J88">
            <v>566.02120823161499</v>
          </cell>
          <cell r="K88">
            <v>12.0479331157728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-7.7929308548318902E-3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588.16312711816101</v>
          </cell>
          <cell r="J90">
            <v>359.21038380469298</v>
          </cell>
          <cell r="K90">
            <v>57.703100989530903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-3.8297266387882797E-4</v>
          </cell>
          <cell r="K91">
            <v>-1.34723267814154E-3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K92">
            <v>0.71950050143683786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5.4023567499885408</v>
          </cell>
          <cell r="J93">
            <v>4.7320652935472634</v>
          </cell>
          <cell r="K93">
            <v>1.021827719857179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1.5922222413937361E-4</v>
          </cell>
          <cell r="K94">
            <v>4.0375553040136743E-5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1.5667576983659904E-4</v>
          </cell>
          <cell r="K95">
            <v>3.1788601150605113E-5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2.546454302774638E-6</v>
          </cell>
          <cell r="K96">
            <v>8.5869518895316838E-6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K97">
            <v>2.1851244035974483E-2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2.9713060326692893</v>
          </cell>
          <cell r="J98">
            <v>2.9710136209925673</v>
          </cell>
          <cell r="K98">
            <v>3.2322831321284471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3.0503213186785008E-4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1.4978209491606285E-4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1.5525003695178718E-4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2.1355841871056311</v>
          </cell>
          <cell r="J102">
            <v>2.1355976502369582</v>
          </cell>
          <cell r="K102">
            <v>2.135623171653263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8.127608077081667E-6</v>
          </cell>
          <cell r="J103">
            <v>1.1712174268027695</v>
          </cell>
          <cell r="K103">
            <v>1.2392237308149443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8.127608077081667E-6</v>
          </cell>
          <cell r="J104">
            <v>1.1712174268027695</v>
          </cell>
          <cell r="K104">
            <v>1.2392237308149443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2.4509810216748789</v>
          </cell>
          <cell r="J105">
            <v>2.8155340681749701</v>
          </cell>
          <cell r="K105">
            <v>3.1730984577556742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K106">
            <v>0.72186885098596232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3.0600659349130357E-4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3.4857725750681152E-5</v>
          </cell>
          <cell r="J108">
            <v>1.1727174065016258E-2</v>
          </cell>
          <cell r="K108">
            <v>1.7704023652047076E-5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4.1677916405312387E-5</v>
          </cell>
          <cell r="J109">
            <v>0.15222724415102939</v>
          </cell>
          <cell r="K109">
            <v>2.6006700234136332E-5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4.1719154362820538E-5</v>
          </cell>
          <cell r="J110">
            <v>0.20072447879434241</v>
          </cell>
          <cell r="K110">
            <v>2.5969082512953455E-5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2.4508566150043882</v>
          </cell>
          <cell r="J111">
            <v>2.450856702139403</v>
          </cell>
          <cell r="K111">
            <v>2.4508567957224869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4.4549317089037981</v>
          </cell>
          <cell r="J112">
            <v>3.7732555592515378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8.6843023536935586</v>
          </cell>
          <cell r="J113">
            <v>3.5959926332881293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14.932022416457615</v>
          </cell>
          <cell r="J114">
            <v>5.5221069904998954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12.540425504546596</v>
          </cell>
          <cell r="J115">
            <v>14.509033266437557</v>
          </cell>
          <cell r="K115">
            <v>26.817094997174696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9.3307745064752992E-2</v>
          </cell>
          <cell r="J116">
            <v>7.492418598495687E-2</v>
          </cell>
          <cell r="K116">
            <v>3.8781145089416473E-3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8.0559095841770318</v>
          </cell>
          <cell r="J117">
            <v>8.2915250989948674</v>
          </cell>
          <cell r="K117">
            <v>7.7924789668083267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3.9304264019928453E-5</v>
          </cell>
          <cell r="K118">
            <v>0.16325112622998442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16.501315020021647</v>
          </cell>
          <cell r="J119">
            <v>7.6696640681790624</v>
          </cell>
          <cell r="K119">
            <v>0.16325112622998442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9.264026300046396</v>
          </cell>
          <cell r="J120">
            <v>10.679653305050559</v>
          </cell>
          <cell r="K120">
            <v>11.094281267048547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13.803620067683539</v>
          </cell>
          <cell r="J121">
            <v>11.749595896130208</v>
          </cell>
          <cell r="K121">
            <v>10.740298171677384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1.7181618895962064E-6</v>
          </cell>
          <cell r="J122">
            <v>2.3081085806064262E-6</v>
          </cell>
          <cell r="K122">
            <v>2.0907951723898531E-6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7.0481794366641578E-6</v>
          </cell>
          <cell r="J123">
            <v>5.3588891195958084</v>
          </cell>
          <cell r="K123">
            <v>9.4663209726415172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1.1825006412025624E-6</v>
          </cell>
          <cell r="J124">
            <v>2.2952750090688106E-6</v>
          </cell>
          <cell r="K124">
            <v>2.0745014611614694E-6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1.6092217243057628E-6</v>
          </cell>
          <cell r="J125">
            <v>2.3076954971254985E-6</v>
          </cell>
          <cell r="K125">
            <v>2.0860832684057124E-6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2.5382951815596322E-6</v>
          </cell>
          <cell r="J126">
            <v>5.3588822085167269</v>
          </cell>
          <cell r="K126">
            <v>9.4663147212616217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1.1383439213620799E-4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1.6805384287593859E-6</v>
          </cell>
          <cell r="J128">
            <v>1.1019534229918655</v>
          </cell>
          <cell r="K128">
            <v>2.7314075369854365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6.9828856226029827E-6</v>
          </cell>
          <cell r="J129">
            <v>5.3052851310739104</v>
          </cell>
          <cell r="K129">
            <v>9.3716563320386701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2.3931651186140528E-6</v>
          </cell>
          <cell r="J130">
            <v>2.4039059807142111</v>
          </cell>
          <cell r="K130">
            <v>3.6497231006191835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1.7619345452842069E-6</v>
          </cell>
          <cell r="J131">
            <v>1.7994199082834863</v>
          </cell>
          <cell r="K131">
            <v>2.9905162859736469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1.1472475299453268E-6</v>
          </cell>
          <cell r="J132">
            <v>5.8190843556976163E-6</v>
          </cell>
          <cell r="K132">
            <v>9.4084604071724109E-6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0.29967135366121012</v>
          </cell>
          <cell r="K133">
            <v>0.29967144652224964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1.0485224596757001E-3</v>
          </cell>
          <cell r="K134">
            <v>2.8609741035544604E-4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1.0712252549673298E-4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8.7240757526880124</v>
          </cell>
          <cell r="J136">
            <v>7.5518205426363991</v>
          </cell>
          <cell r="K136">
            <v>12.163007497664335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8.0463319963108416E-6</v>
          </cell>
          <cell r="J137">
            <v>1.1595052525347413</v>
          </cell>
          <cell r="K137">
            <v>1.2268314935067954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1.7181618895962064E-6</v>
          </cell>
          <cell r="J138">
            <v>2.3081085806064262E-6</v>
          </cell>
          <cell r="K138">
            <v>2.0907951723898531E-6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7.0481794366641578E-6</v>
          </cell>
          <cell r="J139">
            <v>5.3588891195958084</v>
          </cell>
          <cell r="K139">
            <v>9.4663209726415172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1.1825006412025624E-6</v>
          </cell>
          <cell r="J140">
            <v>2.2952750090688106E-6</v>
          </cell>
          <cell r="K140">
            <v>2.0745014611614694E-6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1.6092217243057628E-6</v>
          </cell>
          <cell r="J141">
            <v>2.3076954971254985E-6</v>
          </cell>
          <cell r="K141">
            <v>2.0860832684057124E-6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2.5382951815596322E-6</v>
          </cell>
          <cell r="J142">
            <v>5.3588822085167269</v>
          </cell>
          <cell r="K142">
            <v>9.4663147212616217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2.0795794895961299E-5</v>
          </cell>
          <cell r="K143">
            <v>2.8809741146708812E-4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K144">
            <v>2.1851123628394573E-2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2.9567286081956122E-5</v>
          </cell>
          <cell r="J145">
            <v>3.4782127909468126E-5</v>
          </cell>
          <cell r="K145">
            <v>3.1330612028709647E-5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5.6148948599897903E-5</v>
          </cell>
          <cell r="K146">
            <v>0.23321589461426342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3.6478633409505281E-4</v>
          </cell>
          <cell r="J147">
            <v>1.2361696615804246E-2</v>
          </cell>
          <cell r="K147">
            <v>2.6589014881727987E-2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5.3465833077511913E-4</v>
          </cell>
          <cell r="J148">
            <v>2.3534252947909892E-2</v>
          </cell>
          <cell r="K148">
            <v>2.3040108844311433E-2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0.28720549815077834</v>
          </cell>
          <cell r="J149">
            <v>0.16605331700924877</v>
          </cell>
          <cell r="K149">
            <v>0.10731969768461017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1.6319054580725268E-4</v>
          </cell>
          <cell r="K150">
            <v>0.11181952378106151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1.6805384287593859E-6</v>
          </cell>
          <cell r="J151">
            <v>1.1019534229918655</v>
          </cell>
          <cell r="K151">
            <v>2.7314075369854365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6.9828856226029827E-6</v>
          </cell>
          <cell r="J152">
            <v>5.3052851310739113</v>
          </cell>
          <cell r="K152">
            <v>9.3716563320386701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2.3931651186140528E-6</v>
          </cell>
          <cell r="J153">
            <v>2.4039059807142111</v>
          </cell>
          <cell r="K153">
            <v>3.6497231006191835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1.7619345452842069E-6</v>
          </cell>
          <cell r="J154">
            <v>1.7994199082834899</v>
          </cell>
          <cell r="K154">
            <v>2.9905162859736469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1.1472475299453268E-6</v>
          </cell>
          <cell r="J155">
            <v>5.8190843556976163E-6</v>
          </cell>
          <cell r="K155">
            <v>9.4084604071724109E-6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24.266625195287261</v>
          </cell>
          <cell r="J156">
            <v>14.036449213564168</v>
          </cell>
          <cell r="K156">
            <v>7.8893790813804809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8.0559095841770318</v>
          </cell>
          <cell r="J157">
            <v>8.2915250989948674</v>
          </cell>
          <cell r="K157">
            <v>7.7924789668083267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9.7152976159984152E-5</v>
          </cell>
          <cell r="J158">
            <v>9.8404308709840895E-5</v>
          </cell>
          <cell r="K158">
            <v>9.8682685227486489E-5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3.7229410637299845E-5</v>
          </cell>
          <cell r="J159">
            <v>4.720847831558244E-5</v>
          </cell>
          <cell r="K159">
            <v>2.962605029046768E-5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8.0557568979158223</v>
          </cell>
          <cell r="J160">
            <v>8.2913658060836646</v>
          </cell>
          <cell r="K160">
            <v>7.7923375476634655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1.8282899875480391E-5</v>
          </cell>
          <cell r="J161">
            <v>1.3655336242433225E-5</v>
          </cell>
          <cell r="K161">
            <v>1.0815700233387305E-5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8.6321984674195428E-6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4.0553748241150211</v>
          </cell>
          <cell r="J163">
            <v>4.0546688012646044</v>
          </cell>
          <cell r="K163">
            <v>6.8245540230643611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1.3065243248745349E-5</v>
          </cell>
          <cell r="J164">
            <v>1.6567284897554823E-5</v>
          </cell>
          <cell r="K164">
            <v>1.0386979274356177E-5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1.0391831622492687</v>
          </cell>
          <cell r="J165">
            <v>1.0391832275339628</v>
          </cell>
          <cell r="K165">
            <v>1.0391833449601293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9.9681645081123579E-5</v>
          </cell>
          <cell r="J166">
            <v>3.8748532904697444E-5</v>
          </cell>
          <cell r="K166">
            <v>0.24928667726764611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9.9698551890863501E-5</v>
          </cell>
          <cell r="J167">
            <v>3.8804536423453098E-5</v>
          </cell>
          <cell r="K167">
            <v>0.53960734447036685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3.01600550412974</v>
          </cell>
          <cell r="J168">
            <v>3.0154248267817092</v>
          </cell>
          <cell r="K168">
            <v>4.9964872074478777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4.1644659206668476E-5</v>
          </cell>
          <cell r="K169">
            <v>4.5800762001589833E-5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7.7412457958317233</v>
          </cell>
          <cell r="J170">
            <v>7.4384704316396908</v>
          </cell>
          <cell r="K170">
            <v>7.1138061911924915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2.1355841871056311</v>
          </cell>
          <cell r="J171">
            <v>2.1355976502369582</v>
          </cell>
          <cell r="K171">
            <v>2.135623171653263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4.3847641624288851</v>
          </cell>
          <cell r="J172">
            <v>5.0730885546984554</v>
          </cell>
          <cell r="K172">
            <v>9.3766066423687882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7.1965167525914154E-5</v>
          </cell>
          <cell r="J173">
            <v>7.2892080525807992E-5</v>
          </cell>
          <cell r="K173">
            <v>7.3098285353693715E-5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9.264026300046396</v>
          </cell>
          <cell r="J174">
            <v>10.679653305050559</v>
          </cell>
          <cell r="K174">
            <v>11.094281267048547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1.1839496474833453</v>
          </cell>
          <cell r="J175">
            <v>1.1839499289955771</v>
          </cell>
          <cell r="K175">
            <v>1.183950240310949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2.6855635216725493</v>
          </cell>
          <cell r="J176">
            <v>3.0850078073432003</v>
          </cell>
          <cell r="K176">
            <v>3.4767945542886549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2.99014183268867</v>
          </cell>
          <cell r="J177">
            <v>2.9494210146540087</v>
          </cell>
          <cell r="K177">
            <v>2.8712114411392293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17.0317854666336</v>
          </cell>
          <cell r="J178">
            <v>30.6284295501532</v>
          </cell>
          <cell r="K178">
            <v>78.811900106619106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1.1839496474833453</v>
          </cell>
          <cell r="J179">
            <v>1.1839499289955771</v>
          </cell>
          <cell r="K179">
            <v>1.183950240310949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6.7668357942492925</v>
          </cell>
          <cell r="J180">
            <v>6.9647472771102787</v>
          </cell>
          <cell r="K180">
            <v>6.5455635400373069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8.539362390327554</v>
          </cell>
          <cell r="J181">
            <v>3.5359734378611307</v>
          </cell>
          <cell r="K181">
            <v>0.2451233668047757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1.832319352410841</v>
          </cell>
          <cell r="J182">
            <v>0.44428209211391911</v>
          </cell>
          <cell r="K182">
            <v>0.92507679980647883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8.7477989834834489E-6</v>
          </cell>
          <cell r="J183">
            <v>6.5336537045134955E-6</v>
          </cell>
          <cell r="K183">
            <v>5.174976188223593E-6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1.832328100209824</v>
          </cell>
          <cell r="J184">
            <v>0.44428862576762318</v>
          </cell>
          <cell r="K184">
            <v>0.92508323894858602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18.064210001435391</v>
          </cell>
          <cell r="J185">
            <v>7.9947091861653119</v>
          </cell>
          <cell r="K185">
            <v>1.0723400709424626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14.68273827126351</v>
          </cell>
          <cell r="J186">
            <v>5.4299195223917023</v>
          </cell>
          <cell r="K186">
            <v>0.53059529248630444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1.0948077210381962E-5</v>
          </cell>
          <cell r="J187">
            <v>1.5112482926487349</v>
          </cell>
          <cell r="K187">
            <v>1.5112484522133471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1.0800808075856029E-5</v>
          </cell>
          <cell r="J188">
            <v>1.5112482926487349</v>
          </cell>
          <cell r="K188">
            <v>1.5112484522133471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2.6855635216725493</v>
          </cell>
          <cell r="J189">
            <v>3.0850078073432003</v>
          </cell>
          <cell r="K189">
            <v>3.4767945542886549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2.6855635216725493</v>
          </cell>
          <cell r="J190">
            <v>3.0850078073432003</v>
          </cell>
          <cell r="K190">
            <v>3.4767945542886549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3.6479407490126834E-4</v>
          </cell>
          <cell r="J191">
            <v>1.2361710782189976E-2</v>
          </cell>
          <cell r="K191">
            <v>2.6589072566006913E-2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5.3466619942710812E-4</v>
          </cell>
          <cell r="J192">
            <v>2.3534281848682444E-2</v>
          </cell>
          <cell r="K192">
            <v>2.3040152184327672E-2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8.6358201031097045E-6</v>
          </cell>
          <cell r="J193">
            <v>8.7470496630969714E-6</v>
          </cell>
          <cell r="K193">
            <v>8.5262755618745774E-6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5.0954448670106808E-6</v>
          </cell>
          <cell r="J194">
            <v>6.4612411100463703E-6</v>
          </cell>
          <cell r="K194">
            <v>3.8290384104833207E-6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1.3476296625630807E-5</v>
          </cell>
          <cell r="K195">
            <v>9.6142336101823373E-6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6.072403410106977E-5</v>
          </cell>
          <cell r="J196">
            <v>5.2824654593375009E-5</v>
          </cell>
          <cell r="K196">
            <v>4.1093245026427887E-5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0.28720551393287996</v>
          </cell>
          <cell r="J197">
            <v>0.16605330954915259</v>
          </cell>
          <cell r="K197">
            <v>0.10731989735951289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1.4582190953053728E-4</v>
          </cell>
          <cell r="K198">
            <v>3.0792360693677155E-5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0.49003756667869131</v>
          </cell>
          <cell r="J199">
            <v>0.49003809753826344</v>
          </cell>
          <cell r="K199">
            <v>10.799999739981921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1.0948077210381962E-5</v>
          </cell>
          <cell r="J200">
            <v>1.5112482926487349</v>
          </cell>
          <cell r="K200">
            <v>1.5112484522133471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3.7593762398877798E-4</v>
          </cell>
          <cell r="J201">
            <v>9.6252264382109507E-5</v>
          </cell>
          <cell r="K201">
            <v>1.69077519836156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17.0317854666336</v>
          </cell>
          <cell r="J202">
            <v>30.6284295501532</v>
          </cell>
          <cell r="K202">
            <v>78.811900106619106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17.0317854666336</v>
          </cell>
          <cell r="J203">
            <v>30.6284295501532</v>
          </cell>
          <cell r="K203">
            <v>78.811900106619106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11.593471420634737</v>
          </cell>
          <cell r="J204">
            <v>9.7453458895720111</v>
          </cell>
          <cell r="K204">
            <v>14.833239681671357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3.6829352760747409E-7</v>
          </cell>
          <cell r="K205">
            <v>5.1022051570821249E-6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1.0485224596757001E-3</v>
          </cell>
          <cell r="K206">
            <v>2.8609741035544604E-4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11.593456149751512</v>
          </cell>
          <cell r="J207">
            <v>9.7442845711437407</v>
          </cell>
          <cell r="K207">
            <v>14.832935972761378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9.0803440578780142E-7</v>
          </cell>
          <cell r="J208">
            <v>1.1514263003800607E-6</v>
          </cell>
          <cell r="K208">
            <v>7.2258659245043098E-7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1.4346390332912847E-5</v>
          </cell>
          <cell r="J209">
            <v>1.0715192075402138E-5</v>
          </cell>
          <cell r="K209">
            <v>8.4869609486866867E-6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5.3105542724530866E-7</v>
          </cell>
          <cell r="K210">
            <v>1.225981737108806E-6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2.99014183268867</v>
          </cell>
          <cell r="J211">
            <v>2.9494210146540087</v>
          </cell>
          <cell r="K211">
            <v>2.8712114411392293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12.837351607212584</v>
          </cell>
          <cell r="J212">
            <v>8.7912182958474645</v>
          </cell>
          <cell r="K212">
            <v>3.4625550255508823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6.6527691218975065E-5</v>
          </cell>
          <cell r="K213">
            <v>6.4855304410095641E-2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13.310519199804363</v>
          </cell>
          <cell r="J214">
            <v>12.789977641936202</v>
          </cell>
          <cell r="K214">
            <v>12.231746839944543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0.49003756667869097</v>
          </cell>
          <cell r="J215">
            <v>0.490038097538263</v>
          </cell>
          <cell r="K215">
            <v>10.799999739981899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1.0948077210382E-5</v>
          </cell>
          <cell r="J216">
            <v>1.5112482926487401</v>
          </cell>
          <cell r="K216">
            <v>1.51124845221335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1.9497963063024199E-5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3.1627060169028676</v>
          </cell>
          <cell r="I8">
            <v>3.08889336333193</v>
          </cell>
          <cell r="J8">
            <v>0.160830702262137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6.4753444905048399E-3</v>
          </cell>
          <cell r="I9">
            <v>6.4779773550100372E-3</v>
          </cell>
          <cell r="J9">
            <v>3.4518341569593161E-4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5.6076347817426674E-2</v>
          </cell>
          <cell r="I10">
            <v>5.4767612825034215E-2</v>
          </cell>
          <cell r="J10">
            <v>2.8516081961371884E-3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1.01943744586969E-4</v>
          </cell>
          <cell r="I11">
            <v>5.2373958797052198E-5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1.22000255684164E-4</v>
          </cell>
          <cell r="I12">
            <v>1.2200014070499601E-4</v>
          </cell>
          <cell r="J12">
            <v>9.1910346081552704E-6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2.2762078937876027E-4</v>
          </cell>
          <cell r="I13">
            <v>1.2655478859389962E-4</v>
          </cell>
          <cell r="J13">
            <v>2.5182510891686504E-5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2.2762078937876027E-4</v>
          </cell>
          <cell r="I14">
            <v>1.2655478859389962E-4</v>
          </cell>
          <cell r="J14">
            <v>2.5182510891686504E-5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1.50145263929229E-5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3.3686209667043041E-5</v>
          </cell>
          <cell r="I16">
            <v>1.88913967783148E-5</v>
          </cell>
          <cell r="J16">
            <v>3.7481709872117399E-6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0.45015974431908395</v>
          </cell>
          <cell r="I17">
            <v>0.83918005086764091</v>
          </cell>
          <cell r="J17">
            <v>2.6822667809653393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1.4762305999039858</v>
          </cell>
          <cell r="I18">
            <v>2.6846074337847239</v>
          </cell>
          <cell r="J18">
            <v>7.9161206900109669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8.46785062988838E-3</v>
          </cell>
          <cell r="I19">
            <v>1.00036363939563E-2</v>
          </cell>
          <cell r="J19">
            <v>5.0202870609327301E-2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8.4685777332448794E-3</v>
          </cell>
          <cell r="I20">
            <v>1.578706244638E-2</v>
          </cell>
          <cell r="J20">
            <v>5.1958395118378298E-2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1.0033559218528811E-2</v>
          </cell>
          <cell r="I21">
            <v>7.5369315139203112E-4</v>
          </cell>
          <cell r="J21">
            <v>7.0748229061272494E-5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1.0033559218528811E-2</v>
          </cell>
          <cell r="I22">
            <v>7.5369315139203112E-4</v>
          </cell>
          <cell r="J22">
            <v>7.0748229061272494E-5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2.8942444748816498E-5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1.0509510291985195E-3</v>
          </cell>
          <cell r="I24">
            <v>7.7914936624150295E-5</v>
          </cell>
          <cell r="J24">
            <v>7.2250851520448402E-6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56.398793270170621</v>
          </cell>
          <cell r="I25">
            <v>69.674244920365084</v>
          </cell>
          <cell r="J25">
            <v>79.855420121764695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1.51258384255778E-5</v>
          </cell>
          <cell r="I26">
            <v>0.32957800575452001</v>
          </cell>
          <cell r="J26">
            <v>0.32957804943902302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19.78521125760189</v>
          </cell>
          <cell r="I27">
            <v>24.814716644418557</v>
          </cell>
          <cell r="J27">
            <v>34.896193756799612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3.1115492790776658E-4</v>
          </cell>
          <cell r="I28">
            <v>1.9498035390852399E-4</v>
          </cell>
          <cell r="J28">
            <v>2.6171117473761437E-2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0.98933198268716382</v>
          </cell>
          <cell r="I29">
            <v>6.2622040512847397</v>
          </cell>
          <cell r="J29">
            <v>8.0235283849501471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35.62395413056641</v>
          </cell>
          <cell r="I30">
            <v>38.926707503836525</v>
          </cell>
          <cell r="J30">
            <v>37.239105193532737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10.415044698171227</v>
          </cell>
          <cell r="I31">
            <v>7.3184751483362636</v>
          </cell>
          <cell r="J31">
            <v>1.612156171008331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10.415044698171227</v>
          </cell>
          <cell r="I32">
            <v>7.3184751483362636</v>
          </cell>
          <cell r="J32">
            <v>1.612156171008331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0.44648961089185202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0.71611153377893877</v>
          </cell>
          <cell r="I34">
            <v>0.50319862239726099</v>
          </cell>
          <cell r="J34">
            <v>0.111460019573119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2.3559849540428026E-4</v>
          </cell>
          <cell r="I35">
            <v>1.3098284670406873E-4</v>
          </cell>
          <cell r="J35">
            <v>2.5783933331498893E-5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2.3559849540428026E-4</v>
          </cell>
          <cell r="I36">
            <v>1.3098284670406873E-4</v>
          </cell>
          <cell r="J36">
            <v>2.5783933331498893E-5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1.5382049491475099E-5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3.4884415639630081E-5</v>
          </cell>
          <cell r="I38">
            <v>1.9561015275643192E-5</v>
          </cell>
          <cell r="J38">
            <v>3.8399180979146602E-6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2.2258104483639508E-2</v>
          </cell>
          <cell r="I39">
            <v>1.7457477089720568E-3</v>
          </cell>
          <cell r="J39">
            <v>7.4573001464591271E-5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2.2258104483639508E-2</v>
          </cell>
          <cell r="I40">
            <v>1.7457477089720568E-3</v>
          </cell>
          <cell r="J40">
            <v>7.4573001464591271E-5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3.0698721400737503E-5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2.1406427421414246E-3</v>
          </cell>
          <cell r="I42">
            <v>1.8820225725936599E-4</v>
          </cell>
          <cell r="J42">
            <v>7.6635155773528592E-6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1.9120482166873787E-3</v>
          </cell>
          <cell r="I43">
            <v>1.025686277056452E-3</v>
          </cell>
          <cell r="J43">
            <v>7.9455440068485264E-5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1.9120482166873787E-3</v>
          </cell>
          <cell r="I44">
            <v>1.025686277056452E-3</v>
          </cell>
          <cell r="J44">
            <v>7.9455440068485264E-5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3.2607455794907698E-5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1.9706919770360167E-4</v>
          </cell>
          <cell r="I46">
            <v>1.0661398805081801E-4</v>
          </cell>
          <cell r="J46">
            <v>8.1400049910911501E-6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0.24931030862351192</v>
          </cell>
          <cell r="I47">
            <v>0.26429322488511714</v>
          </cell>
          <cell r="J47">
            <v>0.28825438812000592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9.8719623621199712</v>
          </cell>
          <cell r="I48">
            <v>10.472814391465896</v>
          </cell>
          <cell r="J48">
            <v>11.438846441619521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3.1289072915371697E-4</v>
          </cell>
          <cell r="I49">
            <v>1.60882875824087E-4</v>
          </cell>
          <cell r="J49">
            <v>1.3403185947627901E-3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2.6769818614115742E-3</v>
          </cell>
          <cell r="I50">
            <v>2.8378647372356608E-3</v>
          </cell>
          <cell r="J50">
            <v>3.0951480834873202E-3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7.4333187947146984</v>
          </cell>
          <cell r="I51">
            <v>5.193097071225524</v>
          </cell>
          <cell r="J51">
            <v>1.1251069569443486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7.4333187947146984</v>
          </cell>
          <cell r="I52">
            <v>5.193097071225524</v>
          </cell>
          <cell r="J52">
            <v>1.1251069569443486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0.321724060019214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0.51109558186661208</v>
          </cell>
          <cell r="I54">
            <v>0.357064564767687</v>
          </cell>
          <cell r="J54">
            <v>8.0314007654638794E-2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0.111907592133984</v>
          </cell>
          <cell r="I55">
            <v>3.8716130193498309E-2</v>
          </cell>
          <cell r="J55">
            <v>8.2434872820523285E-5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0.111907592133984</v>
          </cell>
          <cell r="I56">
            <v>3.8716130193498309E-2</v>
          </cell>
          <cell r="J56">
            <v>8.2434872820523285E-5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3.4063125879166603E-5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8.8815347819743776E-3</v>
          </cell>
          <cell r="I58">
            <v>4.34573259028168E-3</v>
          </cell>
          <cell r="J58">
            <v>8.5033931016440805E-6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H59">
            <v>1.7031600874427809E-4</v>
          </cell>
          <cell r="I59">
            <v>8.2683707440784536E-5</v>
          </cell>
          <cell r="J59">
            <v>1.1483346214166678E-5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H60">
            <v>1.7611751615804281E-2</v>
          </cell>
          <cell r="I60">
            <v>8.2484119589059691E-3</v>
          </cell>
          <cell r="J60">
            <v>1.0881943842300551E-3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H61">
            <v>2.3864162081035665E-4</v>
          </cell>
          <cell r="I61">
            <v>1.1176709971417298E-4</v>
          </cell>
          <cell r="J61">
            <v>1.474518135813083E-5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H62">
            <v>0.89108617150036906</v>
          </cell>
          <cell r="I62">
            <v>5.4358368743214536E-2</v>
          </cell>
          <cell r="J62">
            <v>3.4003672925014602E-3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H63">
            <v>7.0757571539601027E-3</v>
          </cell>
          <cell r="I63">
            <v>4.5379525584921578E-4</v>
          </cell>
          <cell r="J63">
            <v>2.9692010730473005E-5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H64">
            <v>1.2074338367213664E-2</v>
          </cell>
          <cell r="I64">
            <v>7.3656326210317811E-4</v>
          </cell>
          <cell r="J64">
            <v>4.6075437567770363E-5</v>
          </cell>
        </row>
        <row r="65">
          <cell r="A65" t="str">
            <v>T-PHEV-STG_S1</v>
          </cell>
          <cell r="B65" t="str">
            <v>VAR_fout</v>
          </cell>
          <cell r="C65" t="str">
            <v>T-ELC-car-PlgSTGAUXout_S1</v>
          </cell>
          <cell r="H65">
            <v>2.2699167223690675E-4</v>
          </cell>
          <cell r="I65">
            <v>1.7777356172850756E-4</v>
          </cell>
          <cell r="J65">
            <v>4.5426705098895701E-5</v>
          </cell>
        </row>
        <row r="66">
          <cell r="A66" t="str">
            <v>T-PHEV-STG_S1</v>
          </cell>
          <cell r="B66" t="str">
            <v>VAR_fout</v>
          </cell>
          <cell r="C66" t="str">
            <v>T-ELC-car-PlgSTGOut_S1</v>
          </cell>
          <cell r="H66">
            <v>2.2699167223690672E-4</v>
          </cell>
          <cell r="I66">
            <v>1.7777356172850756E-4</v>
          </cell>
          <cell r="J66">
            <v>4.5426705098895695E-5</v>
          </cell>
        </row>
        <row r="67">
          <cell r="A67" t="str">
            <v>T-PHEV-STG_S1</v>
          </cell>
          <cell r="B67" t="str">
            <v>VAR_fin</v>
          </cell>
          <cell r="C67" t="str">
            <v>T-ELC-car-PlgSTGAUXin_S1</v>
          </cell>
          <cell r="H67">
            <v>2.2707711403824942E-4</v>
          </cell>
          <cell r="I67">
            <v>1.7782360168066348E-4</v>
          </cell>
          <cell r="J67">
            <v>4.5441391579092482E-5</v>
          </cell>
        </row>
        <row r="68">
          <cell r="A68" t="str">
            <v>T-PHEV-STG_S1</v>
          </cell>
          <cell r="B68" t="str">
            <v>VAR_fin</v>
          </cell>
          <cell r="C68" t="str">
            <v>T-ELC-car-PlgSTGin_S1</v>
          </cell>
          <cell r="H68">
            <v>2.2707711403824942E-4</v>
          </cell>
          <cell r="I68">
            <v>1.7782360168066348E-4</v>
          </cell>
          <cell r="J68">
            <v>4.5441391579092482E-5</v>
          </cell>
        </row>
        <row r="69">
          <cell r="A69" t="str">
            <v>T-PHEV-STG_S1</v>
          </cell>
          <cell r="B69" t="str">
            <v>VAR_ncap</v>
          </cell>
          <cell r="C69" t="str">
            <v>-</v>
          </cell>
          <cell r="H69">
            <v>1.28435558571824E-3</v>
          </cell>
        </row>
        <row r="70">
          <cell r="A70" t="str">
            <v>T-PHEV-STG_S1</v>
          </cell>
          <cell r="B70" t="str">
            <v>VAR_cap</v>
          </cell>
          <cell r="C70" t="str">
            <v>-</v>
          </cell>
          <cell r="H70">
            <v>3.5531066485061844E-3</v>
          </cell>
          <cell r="I70">
            <v>2.2705055560654375E-3</v>
          </cell>
          <cell r="J70">
            <v>5.4256519209955529E-4</v>
          </cell>
        </row>
        <row r="71">
          <cell r="A71" t="str">
            <v>T-Plg-GSL-mix_S3</v>
          </cell>
          <cell r="B71" t="str">
            <v>VAR_fout</v>
          </cell>
          <cell r="C71" t="str">
            <v>CO2_T</v>
          </cell>
          <cell r="H71">
            <v>894.47557453877494</v>
          </cell>
          <cell r="I71">
            <v>486.28099213816932</v>
          </cell>
          <cell r="J71">
            <v>65.919219356343618</v>
          </cell>
        </row>
        <row r="72">
          <cell r="A72" t="str">
            <v>T-Plg-GSL-mix_S3</v>
          </cell>
          <cell r="B72" t="str">
            <v>VAR_fout</v>
          </cell>
          <cell r="C72" t="str">
            <v>T-PEVmix-ELC_GSL_S3</v>
          </cell>
          <cell r="H72">
            <v>6.6120475403507042</v>
          </cell>
          <cell r="I72">
            <v>3.8091633646682439</v>
          </cell>
          <cell r="J72">
            <v>0.54544305171949869</v>
          </cell>
        </row>
        <row r="73">
          <cell r="A73" t="str">
            <v>T-Plg-GSL-mix_S3</v>
          </cell>
          <cell r="B73" t="str">
            <v>VAR_fin</v>
          </cell>
          <cell r="C73" t="str">
            <v>TGSL</v>
          </cell>
          <cell r="H73">
            <v>12.120265237652763</v>
          </cell>
          <cell r="I73">
            <v>6.5891733352055546</v>
          </cell>
          <cell r="J73">
            <v>0.89321435442199892</v>
          </cell>
        </row>
        <row r="74">
          <cell r="A74" t="str">
            <v>T-PHEV-STG_S2</v>
          </cell>
          <cell r="B74" t="str">
            <v>VAR_fout</v>
          </cell>
          <cell r="C74" t="str">
            <v>T-ELC-car-PlgSTGAUXout_S2</v>
          </cell>
          <cell r="H74">
            <v>2.2738112602759819E-3</v>
          </cell>
          <cell r="I74">
            <v>5.0017214938662428E-4</v>
          </cell>
          <cell r="J74">
            <v>2.4665840553609502E-4</v>
          </cell>
        </row>
        <row r="75">
          <cell r="A75" t="str">
            <v>T-PHEV-STG_S2</v>
          </cell>
          <cell r="B75" t="str">
            <v>VAR_fout</v>
          </cell>
          <cell r="C75" t="str">
            <v>T-ELC-car-PlgSTGOut_S2</v>
          </cell>
          <cell r="H75">
            <v>2.2738112602759819E-3</v>
          </cell>
          <cell r="I75">
            <v>5.0017214938662417E-4</v>
          </cell>
          <cell r="J75">
            <v>2.4665840553609496E-4</v>
          </cell>
        </row>
        <row r="76">
          <cell r="A76" t="str">
            <v>T-PHEV-STG_S2</v>
          </cell>
          <cell r="B76" t="str">
            <v>VAR_fin</v>
          </cell>
          <cell r="C76" t="str">
            <v>T-ELC-car-PlgSTGAUXin_S2</v>
          </cell>
          <cell r="H76">
            <v>2.2740865110918943E-3</v>
          </cell>
          <cell r="I76">
            <v>5.0023820305325462E-4</v>
          </cell>
          <cell r="J76">
            <v>2.4669485003166929E-4</v>
          </cell>
        </row>
        <row r="77">
          <cell r="A77" t="str">
            <v>T-PHEV-STG_S2</v>
          </cell>
          <cell r="B77" t="str">
            <v>VAR_fin</v>
          </cell>
          <cell r="C77" t="str">
            <v>T-ELC-car-PlgSTGin_S2</v>
          </cell>
          <cell r="H77">
            <v>2.2740865110918943E-3</v>
          </cell>
          <cell r="I77">
            <v>5.0023820305325462E-4</v>
          </cell>
          <cell r="J77">
            <v>2.4669485003166929E-4</v>
          </cell>
        </row>
        <row r="78">
          <cell r="A78" t="str">
            <v>T-PHEV-STG_S2</v>
          </cell>
          <cell r="B78" t="str">
            <v>VAR_ncap</v>
          </cell>
          <cell r="C78" t="str">
            <v>-</v>
          </cell>
          <cell r="H78">
            <v>2.7664576523299999E-3</v>
          </cell>
          <cell r="I78">
            <v>1.61917581540915E-3</v>
          </cell>
          <cell r="J78">
            <v>8.3402856159353795E-4</v>
          </cell>
        </row>
        <row r="79">
          <cell r="A79" t="str">
            <v>T-PHEV-STG_S2</v>
          </cell>
          <cell r="B79" t="str">
            <v>VAR_cap</v>
          </cell>
          <cell r="C79" t="str">
            <v>-</v>
          </cell>
          <cell r="H79">
            <v>1.99616206875162E-2</v>
          </cell>
          <cell r="I79">
            <v>1.034609878151763E-2</v>
          </cell>
          <cell r="J79">
            <v>3.1765216297743406E-3</v>
          </cell>
        </row>
        <row r="80">
          <cell r="A80" t="str">
            <v>T-Plg-GSL-mix_S4</v>
          </cell>
          <cell r="B80" t="str">
            <v>VAR_fout</v>
          </cell>
          <cell r="C80" t="str">
            <v>CO2_T</v>
          </cell>
          <cell r="H80">
            <v>2.07762330880227</v>
          </cell>
          <cell r="I80">
            <v>0.12914967010194084</v>
          </cell>
          <cell r="J80">
            <v>3.5420424296142301E-3</v>
          </cell>
        </row>
        <row r="81">
          <cell r="A81" t="str">
            <v>T-Plg-GSL-mix_S4</v>
          </cell>
          <cell r="B81" t="str">
            <v>VAR_fout</v>
          </cell>
          <cell r="C81" t="str">
            <v>T-PEVmix-ELC_GSL_S4</v>
          </cell>
          <cell r="H81">
            <v>1.4632202242430403E-2</v>
          </cell>
          <cell r="I81">
            <v>9.5707753679638455E-4</v>
          </cell>
          <cell r="J81">
            <v>2.7286583568257519E-5</v>
          </cell>
        </row>
        <row r="82">
          <cell r="A82" t="str">
            <v>T-Plg-GSL-mix_S4</v>
          </cell>
          <cell r="B82" t="str">
            <v>VAR_fin</v>
          </cell>
          <cell r="C82" t="str">
            <v>TGSL</v>
          </cell>
          <cell r="H82">
            <v>2.8152077355044221E-2</v>
          </cell>
          <cell r="I82">
            <v>1.7499955298365922E-3</v>
          </cell>
          <cell r="J82">
            <v>4.7995154872821467E-5</v>
          </cell>
        </row>
        <row r="83">
          <cell r="A83" t="str">
            <v>T-PHEV-STG_S3</v>
          </cell>
          <cell r="B83" t="str">
            <v>VAR_fout</v>
          </cell>
          <cell r="C83" t="str">
            <v>T-ELC-car-PlgSTGAUXout_S3</v>
          </cell>
          <cell r="H83">
            <v>4.4648263604449321</v>
          </cell>
          <cell r="I83">
            <v>3.9518275158746246</v>
          </cell>
          <cell r="J83">
            <v>1.1428748858760194</v>
          </cell>
        </row>
        <row r="84">
          <cell r="A84" t="str">
            <v>T-PHEV-STG_S3</v>
          </cell>
          <cell r="B84" t="str">
            <v>VAR_fout</v>
          </cell>
          <cell r="C84" t="str">
            <v>T-ELC-car-PlgSTGOut_S3</v>
          </cell>
          <cell r="H84">
            <v>4.4648263604449312</v>
          </cell>
          <cell r="I84">
            <v>3.9518275158746241</v>
          </cell>
          <cell r="J84">
            <v>1.1428748858760194</v>
          </cell>
        </row>
        <row r="85">
          <cell r="A85" t="str">
            <v>T-PHEV-STG_S3</v>
          </cell>
          <cell r="B85" t="str">
            <v>VAR_fin</v>
          </cell>
          <cell r="C85" t="str">
            <v>T-ELC-car-PlgSTGAUXin_S3</v>
          </cell>
          <cell r="H85">
            <v>4.4652729259320676</v>
          </cell>
          <cell r="I85">
            <v>3.9522227624918855</v>
          </cell>
          <cell r="J85">
            <v>1.1429891942944852</v>
          </cell>
        </row>
        <row r="86">
          <cell r="A86" t="str">
            <v>T-PHEV-STG_S3</v>
          </cell>
          <cell r="B86" t="str">
            <v>VAR_fin</v>
          </cell>
          <cell r="C86" t="str">
            <v>T-ELC-car-PlgSTGin_S3</v>
          </cell>
          <cell r="H86">
            <v>4.4652729259320676</v>
          </cell>
          <cell r="I86">
            <v>3.9522227624918855</v>
          </cell>
          <cell r="J86">
            <v>1.1429891942944852</v>
          </cell>
        </row>
        <row r="87">
          <cell r="A87" t="str">
            <v>T-PHEV-STG_S3</v>
          </cell>
          <cell r="B87" t="str">
            <v>VAR_ncap</v>
          </cell>
          <cell r="C87" t="str">
            <v>-</v>
          </cell>
          <cell r="H87">
            <v>64.346264183538807</v>
          </cell>
        </row>
        <row r="88">
          <cell r="A88" t="str">
            <v>T-PHEV-STG_S3</v>
          </cell>
          <cell r="B88" t="str">
            <v>VAR_cap</v>
          </cell>
          <cell r="C88" t="str">
            <v>-</v>
          </cell>
          <cell r="H88">
            <v>103.2480879152661</v>
          </cell>
          <cell r="I88">
            <v>65.772704912993305</v>
          </cell>
          <cell r="J88">
            <v>17.303337857583728</v>
          </cell>
        </row>
        <row r="89">
          <cell r="A89" t="str">
            <v>TFLGV-HYBDSL</v>
          </cell>
          <cell r="B89" t="str">
            <v>VAR_fout</v>
          </cell>
          <cell r="C89" t="str">
            <v>CO2_T</v>
          </cell>
          <cell r="H89">
            <v>201.9759114375307</v>
          </cell>
          <cell r="I89">
            <v>40.505209631474699</v>
          </cell>
        </row>
        <row r="90">
          <cell r="A90" t="str">
            <v>TFLGV-HYBDSL</v>
          </cell>
          <cell r="B90" t="str">
            <v>VAR_fout</v>
          </cell>
          <cell r="C90" t="str">
            <v>TFLGV</v>
          </cell>
          <cell r="H90">
            <v>1.2696310298179414</v>
          </cell>
          <cell r="I90">
            <v>0.25461784354074679</v>
          </cell>
        </row>
        <row r="91">
          <cell r="A91" t="str">
            <v>TFLGV-HYBDSL</v>
          </cell>
          <cell r="B91" t="str">
            <v>VAR_fin</v>
          </cell>
          <cell r="C91" t="str">
            <v>TDSL</v>
          </cell>
          <cell r="H91">
            <v>2.755469460266446</v>
          </cell>
          <cell r="I91">
            <v>0.55259494722339297</v>
          </cell>
        </row>
        <row r="92">
          <cell r="A92" t="str">
            <v>TFLGV-HYBDSL</v>
          </cell>
          <cell r="B92" t="str">
            <v>VAR_ncap</v>
          </cell>
          <cell r="C92" t="str">
            <v>-</v>
          </cell>
        </row>
        <row r="93">
          <cell r="A93" t="str">
            <v>TFLGV-HYBDSL</v>
          </cell>
          <cell r="B93" t="str">
            <v>VAR_cap</v>
          </cell>
          <cell r="C93" t="str">
            <v>-</v>
          </cell>
          <cell r="H93">
            <v>0.12578249120989199</v>
          </cell>
          <cell r="I93">
            <v>1.7835972250155901E-2</v>
          </cell>
        </row>
        <row r="94">
          <cell r="A94" t="str">
            <v>TFHGV-FCLH2O</v>
          </cell>
          <cell r="B94" t="str">
            <v>VAR_fout</v>
          </cell>
          <cell r="C94" t="str">
            <v>TFHGV</v>
          </cell>
        </row>
        <row r="95">
          <cell r="A95" t="str">
            <v>TFHGV-FCLH2O</v>
          </cell>
          <cell r="B95" t="str">
            <v>VAR_fin</v>
          </cell>
          <cell r="C95" t="str">
            <v>TH2O</v>
          </cell>
        </row>
        <row r="96">
          <cell r="A96" t="str">
            <v>TFHGV-FCLH2O</v>
          </cell>
          <cell r="B96" t="str">
            <v>VAR_ncap</v>
          </cell>
          <cell r="C96" t="str">
            <v>-</v>
          </cell>
        </row>
        <row r="97">
          <cell r="A97" t="str">
            <v>TFHGV-FCLH2O</v>
          </cell>
          <cell r="B97" t="str">
            <v>VAR_cap</v>
          </cell>
          <cell r="C97" t="str">
            <v>-</v>
          </cell>
        </row>
        <row r="98">
          <cell r="A98" t="str">
            <v>T-PHEV-STG_S4</v>
          </cell>
          <cell r="B98" t="str">
            <v>VAR_fout</v>
          </cell>
          <cell r="C98" t="str">
            <v>T-ELC-car-PlgSTGAUXout_S4</v>
          </cell>
          <cell r="H98">
            <v>4.6854161460999084E-2</v>
          </cell>
          <cell r="I98">
            <v>3.1920070871920815E-2</v>
          </cell>
          <cell r="J98">
            <v>1.4679956382570778E-4</v>
          </cell>
        </row>
        <row r="99">
          <cell r="A99" t="str">
            <v>T-PHEV-STG_S4</v>
          </cell>
          <cell r="B99" t="str">
            <v>VAR_fout</v>
          </cell>
          <cell r="C99" t="str">
            <v>T-ELC-car-PlgSTGOut_S4</v>
          </cell>
          <cell r="H99">
            <v>4.6854161460999078E-2</v>
          </cell>
          <cell r="I99">
            <v>3.1920070871920808E-2</v>
          </cell>
          <cell r="J99">
            <v>1.4679956382570775E-4</v>
          </cell>
        </row>
        <row r="100">
          <cell r="A100" t="str">
            <v>T-PHEV-STG_S4</v>
          </cell>
          <cell r="B100" t="str">
            <v>VAR_fin</v>
          </cell>
          <cell r="C100" t="str">
            <v>T-ELC-car-PlgSTGAUXin_S4</v>
          </cell>
          <cell r="H100">
            <v>4.6858877429441073E-2</v>
          </cell>
          <cell r="I100">
            <v>3.1923287542293545E-2</v>
          </cell>
          <cell r="J100">
            <v>1.4682374536843779E-4</v>
          </cell>
        </row>
        <row r="101">
          <cell r="A101" t="str">
            <v>T-PHEV-STG_S4</v>
          </cell>
          <cell r="B101" t="str">
            <v>VAR_fin</v>
          </cell>
          <cell r="C101" t="str">
            <v>T-ELC-car-PlgSTGin_S4</v>
          </cell>
          <cell r="H101">
            <v>4.6858877429441073E-2</v>
          </cell>
          <cell r="I101">
            <v>3.1923287542293545E-2</v>
          </cell>
          <cell r="J101">
            <v>1.4682374536843779E-4</v>
          </cell>
        </row>
        <row r="102">
          <cell r="A102" t="str">
            <v>T-PHEV-STG_S4</v>
          </cell>
          <cell r="B102" t="str">
            <v>VAR_ncap</v>
          </cell>
          <cell r="C102" t="str">
            <v>-</v>
          </cell>
          <cell r="H102">
            <v>5.4659286968781204E-3</v>
          </cell>
        </row>
        <row r="103">
          <cell r="A103" t="str">
            <v>T-PHEV-STG_S4</v>
          </cell>
          <cell r="B103" t="str">
            <v>VAR_cap</v>
          </cell>
          <cell r="C103" t="str">
            <v>-</v>
          </cell>
          <cell r="H103">
            <v>1.0213105144200132</v>
          </cell>
          <cell r="I103">
            <v>0.69354003027129107</v>
          </cell>
          <cell r="J103">
            <v>2.3088250752831864E-3</v>
          </cell>
        </row>
        <row r="104">
          <cell r="A104" t="str">
            <v>TFLGV-ICEGSLExt</v>
          </cell>
          <cell r="B104" t="str">
            <v>VAR_fout</v>
          </cell>
          <cell r="C104" t="str">
            <v>CO2_T</v>
          </cell>
        </row>
        <row r="105">
          <cell r="A105" t="str">
            <v>TFLGV-ICEGSLExt</v>
          </cell>
          <cell r="B105" t="str">
            <v>VAR_fout</v>
          </cell>
          <cell r="C105" t="str">
            <v>TFLGV</v>
          </cell>
        </row>
        <row r="106">
          <cell r="A106" t="str">
            <v>TFLGV-ICEGSLExt</v>
          </cell>
          <cell r="B106" t="str">
            <v>VAR_fin</v>
          </cell>
          <cell r="C106" t="str">
            <v>TGSL</v>
          </cell>
        </row>
        <row r="107">
          <cell r="A107" t="str">
            <v>TFLGV-ICEGSLExt</v>
          </cell>
          <cell r="B107" t="str">
            <v>VAR_cap</v>
          </cell>
          <cell r="C107" t="str">
            <v>-</v>
          </cell>
        </row>
        <row r="108">
          <cell r="A108" t="str">
            <v>TFRLFELCEXT</v>
          </cell>
          <cell r="B108" t="str">
            <v>VAR_fout</v>
          </cell>
          <cell r="C108" t="str">
            <v>TFRLF</v>
          </cell>
          <cell r="H108">
            <v>3.3099252896756956E-2</v>
          </cell>
          <cell r="I108">
            <v>3.3881338779581181E-2</v>
          </cell>
          <cell r="J108">
            <v>3.6423822051027635E-2</v>
          </cell>
        </row>
        <row r="109">
          <cell r="A109" t="str">
            <v>TFRLFELCEXT</v>
          </cell>
          <cell r="B109" t="str">
            <v>VAR_fin</v>
          </cell>
          <cell r="C109" t="str">
            <v>TELC</v>
          </cell>
          <cell r="H109">
            <v>1.9815127546457323</v>
          </cell>
          <cell r="I109">
            <v>2.0283329398891414</v>
          </cell>
          <cell r="J109">
            <v>2.1805406965584213</v>
          </cell>
        </row>
        <row r="110">
          <cell r="A110" t="str">
            <v>TFRLFELCEXT</v>
          </cell>
          <cell r="B110" t="str">
            <v>VAR_ncap</v>
          </cell>
          <cell r="C110" t="str">
            <v>-</v>
          </cell>
          <cell r="H110">
            <v>1.3422758151998199E-4</v>
          </cell>
          <cell r="I110">
            <v>7.2198734963724906E-5</v>
          </cell>
          <cell r="J110">
            <v>1.4957362358117899E-3</v>
          </cell>
        </row>
        <row r="111">
          <cell r="A111" t="str">
            <v>TFRLFELCEXT</v>
          </cell>
          <cell r="B111" t="str">
            <v>VAR_cap</v>
          </cell>
          <cell r="C111" t="str">
            <v>-</v>
          </cell>
          <cell r="H111">
            <v>3.0556358055527969E-3</v>
          </cell>
          <cell r="I111">
            <v>3.1278345405165216E-3</v>
          </cell>
          <cell r="J111">
            <v>3.3625479538085899E-3</v>
          </cell>
        </row>
        <row r="112">
          <cell r="A112" t="str">
            <v>TFLGV-ICEDSLExt</v>
          </cell>
          <cell r="B112" t="str">
            <v>VAR_fout</v>
          </cell>
          <cell r="C112" t="str">
            <v>CO2_T</v>
          </cell>
        </row>
        <row r="113">
          <cell r="A113" t="str">
            <v>TFLGV-ICEDSLExt</v>
          </cell>
          <cell r="B113" t="str">
            <v>VAR_fout</v>
          </cell>
          <cell r="C113" t="str">
            <v>TFLGV</v>
          </cell>
        </row>
        <row r="114">
          <cell r="A114" t="str">
            <v>TFLGV-ICEDSLExt</v>
          </cell>
          <cell r="B114" t="str">
            <v>VAR_fin</v>
          </cell>
          <cell r="C114" t="str">
            <v>TDSL</v>
          </cell>
        </row>
        <row r="115">
          <cell r="A115" t="str">
            <v>TFLGV-ICEDSLExt</v>
          </cell>
          <cell r="B115" t="str">
            <v>VAR_cap</v>
          </cell>
          <cell r="C115" t="str">
            <v>-</v>
          </cell>
        </row>
        <row r="116">
          <cell r="A116" t="str">
            <v>T_C-ICE-NGA-S1</v>
          </cell>
          <cell r="B116" t="str">
            <v>VAR_fout</v>
          </cell>
          <cell r="C116" t="str">
            <v>CO2_T</v>
          </cell>
          <cell r="H116">
            <v>5.312190194492538E-3</v>
          </cell>
          <cell r="I116">
            <v>1.286097099974956E-3</v>
          </cell>
        </row>
        <row r="117">
          <cell r="A117" t="str">
            <v>T_C-ICE-NGA-S1</v>
          </cell>
          <cell r="B117" t="str">
            <v>VAR_fout</v>
          </cell>
          <cell r="C117" t="str">
            <v>TPCAR</v>
          </cell>
          <cell r="H117">
            <v>5.4233509344457847E-5</v>
          </cell>
          <cell r="I117">
            <v>1.2740550598189991E-5</v>
          </cell>
        </row>
        <row r="118">
          <cell r="A118" t="str">
            <v>T_C-ICE-NGA-S1</v>
          </cell>
          <cell r="B118" t="str">
            <v>VAR_fin</v>
          </cell>
          <cell r="C118" t="str">
            <v>TNGA</v>
          </cell>
          <cell r="H118">
            <v>9.4187769405895954E-5</v>
          </cell>
          <cell r="I118">
            <v>2.2803140070477913E-5</v>
          </cell>
        </row>
        <row r="119">
          <cell r="A119" t="str">
            <v>T_C-ICE-NGA-S1</v>
          </cell>
          <cell r="B119" t="str">
            <v>VAR_ncap</v>
          </cell>
          <cell r="C119" t="str">
            <v>-</v>
          </cell>
        </row>
        <row r="120">
          <cell r="A120" t="str">
            <v>T_C-ICE-NGA-S1</v>
          </cell>
          <cell r="B120" t="str">
            <v>VAR_cap</v>
          </cell>
          <cell r="C120" t="str">
            <v>-</v>
          </cell>
          <cell r="H120">
            <v>7.8533101730259194E-6</v>
          </cell>
          <cell r="I120">
            <v>1.9093627234657981E-6</v>
          </cell>
        </row>
        <row r="121">
          <cell r="A121" t="str">
            <v>D-T-ELC-car</v>
          </cell>
          <cell r="B121" t="str">
            <v>VAR_fout</v>
          </cell>
          <cell r="C121" t="str">
            <v>T-ELC-car</v>
          </cell>
          <cell r="H121">
            <v>35.388990686303934</v>
          </cell>
          <cell r="I121">
            <v>41.094890206843317</v>
          </cell>
          <cell r="J121">
            <v>41.445930165174552</v>
          </cell>
        </row>
        <row r="122">
          <cell r="A122" t="str">
            <v>D-T-ELC-car</v>
          </cell>
          <cell r="B122" t="str">
            <v>VAR_fin</v>
          </cell>
          <cell r="C122" t="str">
            <v>TELC</v>
          </cell>
          <cell r="H122">
            <v>35.388990686303934</v>
          </cell>
          <cell r="I122">
            <v>41.094890206843317</v>
          </cell>
          <cell r="J122">
            <v>41.445930165174552</v>
          </cell>
        </row>
        <row r="123">
          <cell r="A123" t="str">
            <v>D-T-ELC-car</v>
          </cell>
          <cell r="B123" t="str">
            <v>VAR_ncap</v>
          </cell>
          <cell r="C123" t="str">
            <v>-</v>
          </cell>
          <cell r="H123">
            <v>15.707592040986601</v>
          </cell>
          <cell r="I123">
            <v>13.955906846198401</v>
          </cell>
          <cell r="J123">
            <v>28.209920480507499</v>
          </cell>
        </row>
        <row r="124">
          <cell r="A124" t="str">
            <v>D-T-ELC-car</v>
          </cell>
          <cell r="B124" t="str">
            <v>VAR_cap</v>
          </cell>
          <cell r="C124" t="str">
            <v>-</v>
          </cell>
          <cell r="H124">
            <v>26.183955898977906</v>
          </cell>
          <cell r="I124">
            <v>36.080602790540297</v>
          </cell>
          <cell r="J124">
            <v>44.982417353701798</v>
          </cell>
        </row>
        <row r="125">
          <cell r="A125" t="str">
            <v>T_C-ICE-NGA-S2</v>
          </cell>
          <cell r="B125" t="str">
            <v>VAR_fout</v>
          </cell>
          <cell r="C125" t="str">
            <v>CO2_T</v>
          </cell>
          <cell r="H125">
            <v>0.10791003252620318</v>
          </cell>
          <cell r="I125">
            <v>2.4475023578569561E-3</v>
          </cell>
        </row>
        <row r="126">
          <cell r="A126" t="str">
            <v>T_C-ICE-NGA-S2</v>
          </cell>
          <cell r="B126" t="str">
            <v>VAR_fout</v>
          </cell>
          <cell r="C126" t="str">
            <v>TPCAR</v>
          </cell>
          <cell r="H126">
            <v>1.0736751188530822E-3</v>
          </cell>
          <cell r="I126">
            <v>1.9420947935475124E-5</v>
          </cell>
        </row>
        <row r="127">
          <cell r="A127" t="str">
            <v>T_C-ICE-NGA-S2</v>
          </cell>
          <cell r="B127" t="str">
            <v>VAR_fin</v>
          </cell>
          <cell r="C127" t="str">
            <v>TNGA</v>
          </cell>
          <cell r="H127">
            <v>1.9132984490461576E-3</v>
          </cell>
          <cell r="I127">
            <v>4.3395431876896306E-5</v>
          </cell>
        </row>
        <row r="128">
          <cell r="A128" t="str">
            <v>T_C-ICE-NGA-S2</v>
          </cell>
          <cell r="B128" t="str">
            <v>VAR_ncap</v>
          </cell>
          <cell r="C128" t="str">
            <v>-</v>
          </cell>
        </row>
        <row r="129">
          <cell r="A129" t="str">
            <v>T_C-ICE-NGA-S2</v>
          </cell>
          <cell r="B129" t="str">
            <v>VAR_cap</v>
          </cell>
          <cell r="C129" t="str">
            <v>-</v>
          </cell>
          <cell r="H129">
            <v>1.0310471083784863E-4</v>
          </cell>
          <cell r="I129">
            <v>1.8270280175994699E-6</v>
          </cell>
        </row>
        <row r="130">
          <cell r="A130" t="str">
            <v>TFLGV-ICEDSL</v>
          </cell>
          <cell r="B130" t="str">
            <v>VAR_fout</v>
          </cell>
          <cell r="C130" t="str">
            <v>CO2_T</v>
          </cell>
          <cell r="H130">
            <v>2.163437109820332E-2</v>
          </cell>
          <cell r="I130">
            <v>2.4364210045008799E-3</v>
          </cell>
        </row>
        <row r="131">
          <cell r="A131" t="str">
            <v>TFLGV-ICEDSL</v>
          </cell>
          <cell r="B131" t="str">
            <v>VAR_fout</v>
          </cell>
          <cell r="C131" t="str">
            <v>TFLGV</v>
          </cell>
          <cell r="H131">
            <v>1.0097452035005472E-4</v>
          </cell>
          <cell r="I131">
            <v>1.1371555067792399E-5</v>
          </cell>
        </row>
        <row r="132">
          <cell r="A132" t="str">
            <v>TFLGV-ICEDSL</v>
          </cell>
          <cell r="B132" t="str">
            <v>VAR_fin</v>
          </cell>
          <cell r="C132" t="str">
            <v>TDSL</v>
          </cell>
          <cell r="H132">
            <v>2.95148309661709E-4</v>
          </cell>
          <cell r="I132">
            <v>3.3239031439302623E-5</v>
          </cell>
        </row>
        <row r="133">
          <cell r="A133" t="str">
            <v>TFLGV-ICEDSL</v>
          </cell>
          <cell r="B133" t="str">
            <v>VAR_ncap</v>
          </cell>
          <cell r="C133" t="str">
            <v>-</v>
          </cell>
        </row>
        <row r="134">
          <cell r="A134" t="str">
            <v>TFLGV-ICEDSL</v>
          </cell>
          <cell r="B134" t="str">
            <v>VAR_cap</v>
          </cell>
          <cell r="C134" t="str">
            <v>-</v>
          </cell>
          <cell r="H134">
            <v>9.0592510995597994E-6</v>
          </cell>
          <cell r="I134">
            <v>9.4945611740039399E-7</v>
          </cell>
        </row>
        <row r="135">
          <cell r="A135" t="str">
            <v>T_C-ICE-NGA-S3</v>
          </cell>
          <cell r="B135" t="str">
            <v>VAR_fout</v>
          </cell>
          <cell r="C135" t="str">
            <v>CO2_T</v>
          </cell>
          <cell r="H135">
            <v>0.18581899680928829</v>
          </cell>
          <cell r="I135">
            <v>2.671332032000908E-2</v>
          </cell>
        </row>
        <row r="136">
          <cell r="A136" t="str">
            <v>T_C-ICE-NGA-S3</v>
          </cell>
          <cell r="B136" t="str">
            <v>VAR_fout</v>
          </cell>
          <cell r="C136" t="str">
            <v>TPCAR</v>
          </cell>
          <cell r="H136">
            <v>1.631553127040401E-3</v>
          </cell>
          <cell r="I136">
            <v>2.3050654495897891E-4</v>
          </cell>
        </row>
        <row r="137">
          <cell r="A137" t="str">
            <v>T_C-ICE-NGA-S3</v>
          </cell>
          <cell r="B137" t="str">
            <v>VAR_fin</v>
          </cell>
          <cell r="C137" t="str">
            <v>TNGA</v>
          </cell>
          <cell r="H137">
            <v>3.2946630639944688E-3</v>
          </cell>
          <cell r="I137">
            <v>4.7364043120583444E-4</v>
          </cell>
        </row>
        <row r="138">
          <cell r="A138" t="str">
            <v>T_C-ICE-NGA-S3</v>
          </cell>
          <cell r="B138" t="str">
            <v>VAR_ncap</v>
          </cell>
          <cell r="C138" t="str">
            <v>-</v>
          </cell>
        </row>
        <row r="139">
          <cell r="A139" t="str">
            <v>T_C-ICE-NGA-S3</v>
          </cell>
          <cell r="B139" t="str">
            <v>VAR_cap</v>
          </cell>
          <cell r="C139" t="str">
            <v>-</v>
          </cell>
          <cell r="H139">
            <v>1.1339214164510862E-4</v>
          </cell>
          <cell r="I139">
            <v>1.6492733343147202E-5</v>
          </cell>
        </row>
        <row r="140">
          <cell r="A140" t="str">
            <v>T_C-ICE-NGA-S4</v>
          </cell>
          <cell r="B140" t="str">
            <v>VAR_fout</v>
          </cell>
          <cell r="C140" t="str">
            <v>CO2_T</v>
          </cell>
          <cell r="H140">
            <v>0.75094125441264392</v>
          </cell>
          <cell r="I140">
            <v>0.14302812905540854</v>
          </cell>
        </row>
        <row r="141">
          <cell r="A141" t="str">
            <v>T_C-ICE-NGA-S4</v>
          </cell>
          <cell r="B141" t="str">
            <v>VAR_fout</v>
          </cell>
          <cell r="C141" t="str">
            <v>TPCAR</v>
          </cell>
          <cell r="H141">
            <v>7.2498546867771707E-3</v>
          </cell>
          <cell r="I141">
            <v>1.1001244191227049E-3</v>
          </cell>
        </row>
        <row r="142">
          <cell r="A142" t="str">
            <v>T_C-ICE-NGA-S4</v>
          </cell>
          <cell r="B142" t="str">
            <v>VAR_fin</v>
          </cell>
          <cell r="C142" t="str">
            <v>TNGA</v>
          </cell>
          <cell r="H142">
            <v>1.3314561248451132E-2</v>
          </cell>
          <cell r="I142">
            <v>2.535959735024971E-3</v>
          </cell>
        </row>
        <row r="143">
          <cell r="A143" t="str">
            <v>T_C-ICE-NGA-S4</v>
          </cell>
          <cell r="B143" t="str">
            <v>VAR_ncap</v>
          </cell>
          <cell r="C143" t="str">
            <v>-</v>
          </cell>
        </row>
        <row r="144">
          <cell r="A144" t="str">
            <v>T_C-ICE-NGA-S4</v>
          </cell>
          <cell r="B144" t="str">
            <v>VAR_cap</v>
          </cell>
          <cell r="C144" t="str">
            <v>-</v>
          </cell>
          <cell r="H144">
            <v>5.7616617127252516E-4</v>
          </cell>
          <cell r="I144">
            <v>1.1689875525218E-4</v>
          </cell>
        </row>
        <row r="145">
          <cell r="A145" t="str">
            <v>T_C-MHY-GSL-S1</v>
          </cell>
          <cell r="B145" t="str">
            <v>VAR_fout</v>
          </cell>
          <cell r="C145" t="str">
            <v>CO2_T</v>
          </cell>
          <cell r="H145">
            <v>9.8710411975255624E-3</v>
          </cell>
          <cell r="I145">
            <v>3.31405360892748E-3</v>
          </cell>
        </row>
        <row r="146">
          <cell r="A146" t="str">
            <v>T_C-MHY-GSL-S1</v>
          </cell>
          <cell r="B146" t="str">
            <v>VAR_fout</v>
          </cell>
          <cell r="C146" t="str">
            <v>TPCAR</v>
          </cell>
          <cell r="H146">
            <v>7.8078403348463848E-5</v>
          </cell>
          <cell r="I146">
            <v>2.7048565635477278E-5</v>
          </cell>
        </row>
        <row r="147">
          <cell r="A147" t="str">
            <v>T_C-MHY-GSL-S1</v>
          </cell>
          <cell r="B147" t="str">
            <v>VAR_fin</v>
          </cell>
          <cell r="C147" t="str">
            <v>TGSL</v>
          </cell>
          <cell r="H147">
            <v>1.3375394576592902E-4</v>
          </cell>
          <cell r="I147">
            <v>4.4905875459721967E-5</v>
          </cell>
        </row>
        <row r="148">
          <cell r="A148" t="str">
            <v>T_C-MHY-GSL-S1</v>
          </cell>
          <cell r="B148" t="str">
            <v>VAR_ncap</v>
          </cell>
          <cell r="C148" t="str">
            <v>-</v>
          </cell>
        </row>
        <row r="149">
          <cell r="A149" t="str">
            <v>T_C-MHY-GSL-S1</v>
          </cell>
          <cell r="B149" t="str">
            <v>VAR_cap</v>
          </cell>
          <cell r="C149" t="str">
            <v>-</v>
          </cell>
          <cell r="H149">
            <v>1.14255270438898E-5</v>
          </cell>
          <cell r="I149">
            <v>4.0100930516714102E-6</v>
          </cell>
        </row>
        <row r="150">
          <cell r="A150" t="str">
            <v>T_TRLY_ELC</v>
          </cell>
          <cell r="B150" t="str">
            <v>VAR_fout</v>
          </cell>
          <cell r="C150" t="str">
            <v>TPTRLY</v>
          </cell>
          <cell r="H150">
            <v>3.3377943963007015E-2</v>
          </cell>
          <cell r="I150">
            <v>3.4523476991223531E-2</v>
          </cell>
          <cell r="J150">
            <v>3.6192278140061748E-2</v>
          </cell>
        </row>
        <row r="151">
          <cell r="A151" t="str">
            <v>T_TRLY_ELC</v>
          </cell>
          <cell r="B151" t="str">
            <v>VAR_fin</v>
          </cell>
          <cell r="C151" t="str">
            <v>TELC</v>
          </cell>
          <cell r="H151">
            <v>0.49261136197989641</v>
          </cell>
          <cell r="I151">
            <v>0.50951781331339152</v>
          </cell>
          <cell r="J151">
            <v>0.53414696386004867</v>
          </cell>
        </row>
        <row r="152">
          <cell r="A152" t="str">
            <v>T_C-MHY-GSL-S2</v>
          </cell>
          <cell r="B152" t="str">
            <v>VAR_fout</v>
          </cell>
          <cell r="C152" t="str">
            <v>CO2_T</v>
          </cell>
          <cell r="H152">
            <v>8.7196285226710038E-3</v>
          </cell>
          <cell r="I152">
            <v>2.466478632143311E-3</v>
          </cell>
        </row>
        <row r="153">
          <cell r="A153" t="str">
            <v>T_C-MHY-GSL-S2</v>
          </cell>
          <cell r="B153" t="str">
            <v>VAR_fout</v>
          </cell>
          <cell r="C153" t="str">
            <v>TPCAR</v>
          </cell>
          <cell r="H153">
            <v>5.5184106443734359E-5</v>
          </cell>
          <cell r="I153">
            <v>1.6216069826078562E-5</v>
          </cell>
        </row>
        <row r="154">
          <cell r="A154" t="str">
            <v>T_C-MHY-GSL-S2</v>
          </cell>
          <cell r="B154" t="str">
            <v>VAR_fin</v>
          </cell>
          <cell r="C154" t="str">
            <v>TGSL</v>
          </cell>
          <cell r="H154">
            <v>1.1815214800367211E-4</v>
          </cell>
          <cell r="I154">
            <v>3.3421119676738616E-5</v>
          </cell>
        </row>
        <row r="155">
          <cell r="A155" t="str">
            <v>T_C-MHY-GSL-S2</v>
          </cell>
          <cell r="B155" t="str">
            <v>VAR_ncap</v>
          </cell>
          <cell r="C155" t="str">
            <v>-</v>
          </cell>
        </row>
        <row r="156">
          <cell r="A156" t="str">
            <v>T_C-MHY-GSL-S2</v>
          </cell>
          <cell r="B156" t="str">
            <v>VAR_cap</v>
          </cell>
          <cell r="C156" t="str">
            <v>-</v>
          </cell>
          <cell r="H156">
            <v>5.1177761620646998E-6</v>
          </cell>
          <cell r="I156">
            <v>1.55654208067722E-6</v>
          </cell>
        </row>
        <row r="157">
          <cell r="A157" t="str">
            <v>T_C-MHY-DSL-S1</v>
          </cell>
          <cell r="B157" t="str">
            <v>VAR_fout</v>
          </cell>
          <cell r="C157" t="str">
            <v>CO2_T</v>
          </cell>
          <cell r="H157">
            <v>7.1374563174251317E-3</v>
          </cell>
          <cell r="I157">
            <v>2.3115303617821151E-3</v>
          </cell>
        </row>
        <row r="158">
          <cell r="A158" t="str">
            <v>T_C-MHY-DSL-S1</v>
          </cell>
          <cell r="B158" t="str">
            <v>VAR_fout</v>
          </cell>
          <cell r="C158" t="str">
            <v>TPCAR</v>
          </cell>
          <cell r="H158">
            <v>6.030081289734626E-5</v>
          </cell>
          <cell r="I158">
            <v>2.0099597701588234E-5</v>
          </cell>
        </row>
        <row r="159">
          <cell r="A159" t="str">
            <v>T_C-MHY-DSL-S1</v>
          </cell>
          <cell r="B159" t="str">
            <v>VAR_fin</v>
          </cell>
          <cell r="C159" t="str">
            <v>TDSL</v>
          </cell>
          <cell r="H159">
            <v>9.7373210333221412E-5</v>
          </cell>
          <cell r="I159">
            <v>3.1535202752825551E-5</v>
          </cell>
        </row>
        <row r="160">
          <cell r="A160" t="str">
            <v>T_C-MHY-DSL-S1</v>
          </cell>
          <cell r="B160" t="str">
            <v>VAR_ncap</v>
          </cell>
          <cell r="C160" t="str">
            <v>-</v>
          </cell>
        </row>
        <row r="161">
          <cell r="A161" t="str">
            <v>T_C-MHY-DSL-S1</v>
          </cell>
          <cell r="B161" t="str">
            <v>VAR_cap</v>
          </cell>
          <cell r="C161" t="str">
            <v>-</v>
          </cell>
          <cell r="H161">
            <v>8.7451953688393993E-6</v>
          </cell>
          <cell r="I161">
            <v>3.0027545633370199E-6</v>
          </cell>
        </row>
        <row r="162">
          <cell r="A162" t="str">
            <v>T_C-MHY-GSL-S3</v>
          </cell>
          <cell r="B162" t="str">
            <v>VAR_fout</v>
          </cell>
          <cell r="C162" t="str">
            <v>CO2_T</v>
          </cell>
          <cell r="H162">
            <v>8.6158607493883686E-3</v>
          </cell>
          <cell r="I162">
            <v>2.1173345469433268E-3</v>
          </cell>
        </row>
        <row r="163">
          <cell r="A163" t="str">
            <v>T_C-MHY-GSL-S3</v>
          </cell>
          <cell r="B163" t="str">
            <v>VAR_fout</v>
          </cell>
          <cell r="C163" t="str">
            <v>TPCAR</v>
          </cell>
          <cell r="H163">
            <v>5.0282151087483478E-5</v>
          </cell>
          <cell r="I163">
            <v>1.2911367148604781E-5</v>
          </cell>
        </row>
        <row r="164">
          <cell r="A164" t="str">
            <v>T_C-MHY-GSL-S3</v>
          </cell>
          <cell r="B164" t="str">
            <v>VAR_fin</v>
          </cell>
          <cell r="C164" t="str">
            <v>TGSL</v>
          </cell>
          <cell r="H164">
            <v>1.1674608061501867E-4</v>
          </cell>
          <cell r="I164">
            <v>2.8690170012782293E-5</v>
          </cell>
        </row>
        <row r="165">
          <cell r="A165" t="str">
            <v>T_C-MHY-GSL-S3</v>
          </cell>
          <cell r="B165" t="str">
            <v>VAR_ncap</v>
          </cell>
          <cell r="C165" t="str">
            <v>-</v>
          </cell>
        </row>
        <row r="166">
          <cell r="A166" t="str">
            <v>T_C-MHY-GSL-S3</v>
          </cell>
          <cell r="B166" t="str">
            <v>VAR_cap</v>
          </cell>
          <cell r="C166" t="str">
            <v>-</v>
          </cell>
          <cell r="H166">
            <v>4.0298598369098198E-6</v>
          </cell>
          <cell r="I166">
            <v>1.1037274179332901E-6</v>
          </cell>
        </row>
        <row r="167">
          <cell r="A167" t="str">
            <v>T_C-MHY-DSL-S2</v>
          </cell>
          <cell r="B167" t="str">
            <v>VAR_fout</v>
          </cell>
          <cell r="C167" t="str">
            <v>CO2_T</v>
          </cell>
          <cell r="H167">
            <v>6.7974206192857149E-3</v>
          </cell>
          <cell r="I167">
            <v>1.9088457716326249E-3</v>
          </cell>
        </row>
        <row r="168">
          <cell r="A168" t="str">
            <v>T_C-MHY-DSL-S2</v>
          </cell>
          <cell r="B168" t="str">
            <v>VAR_fout</v>
          </cell>
          <cell r="C168" t="str">
            <v>TPCAR</v>
          </cell>
          <cell r="H168">
            <v>4.6124042898091215E-5</v>
          </cell>
          <cell r="I168">
            <v>1.3406779765309776E-5</v>
          </cell>
        </row>
        <row r="169">
          <cell r="A169" t="str">
            <v>T_C-MHY-DSL-S2</v>
          </cell>
          <cell r="B169" t="str">
            <v>VAR_fin</v>
          </cell>
          <cell r="C169" t="str">
            <v>TDSL</v>
          </cell>
          <cell r="H169">
            <v>9.2734251286299084E-5</v>
          </cell>
          <cell r="I169">
            <v>2.6041552136870682E-5</v>
          </cell>
        </row>
        <row r="170">
          <cell r="A170" t="str">
            <v>T_C-MHY-DSL-S2</v>
          </cell>
          <cell r="B170" t="str">
            <v>VAR_ncap</v>
          </cell>
          <cell r="C170" t="str">
            <v>-</v>
          </cell>
        </row>
        <row r="171">
          <cell r="A171" t="str">
            <v>T_C-MHY-DSL-S2</v>
          </cell>
          <cell r="B171" t="str">
            <v>VAR_cap</v>
          </cell>
          <cell r="C171" t="str">
            <v>-</v>
          </cell>
          <cell r="H171">
            <v>4.1935188285949499E-6</v>
          </cell>
          <cell r="I171">
            <v>1.28616178922473E-6</v>
          </cell>
        </row>
        <row r="172">
          <cell r="A172" t="str">
            <v>T_C-MHY-GSL-S4</v>
          </cell>
          <cell r="B172" t="str">
            <v>VAR_fout</v>
          </cell>
          <cell r="C172" t="str">
            <v>CO2_T</v>
          </cell>
          <cell r="H172">
            <v>1.133399135034646E-2</v>
          </cell>
          <cell r="I172">
            <v>3.1925100593297459E-3</v>
          </cell>
        </row>
        <row r="173">
          <cell r="A173" t="str">
            <v>T_C-MHY-GSL-S4</v>
          </cell>
          <cell r="B173" t="str">
            <v>VAR_fout</v>
          </cell>
          <cell r="C173" t="str">
            <v>TPCAR</v>
          </cell>
          <cell r="H173">
            <v>6.7310115604385241E-5</v>
          </cell>
          <cell r="I173">
            <v>1.9688399185598725E-5</v>
          </cell>
        </row>
        <row r="174">
          <cell r="A174" t="str">
            <v>T_C-MHY-GSL-S4</v>
          </cell>
          <cell r="B174" t="str">
            <v>VAR_fin</v>
          </cell>
          <cell r="C174" t="str">
            <v>TGSL</v>
          </cell>
          <cell r="H174">
            <v>1.5357711856838041E-4</v>
          </cell>
          <cell r="I174">
            <v>4.3258943893357062E-5</v>
          </cell>
        </row>
        <row r="175">
          <cell r="A175" t="str">
            <v>T_C-MHY-GSL-S4</v>
          </cell>
          <cell r="B175" t="str">
            <v>VAR_ncap</v>
          </cell>
          <cell r="C175" t="str">
            <v>-</v>
          </cell>
        </row>
        <row r="176">
          <cell r="A176" t="str">
            <v>T_C-MHY-GSL-S4</v>
          </cell>
          <cell r="B176" t="str">
            <v>VAR_cap</v>
          </cell>
          <cell r="C176" t="str">
            <v>-</v>
          </cell>
          <cell r="H176">
            <v>6.4893399416518603E-6</v>
          </cell>
          <cell r="I176">
            <v>1.9441538461846998E-6</v>
          </cell>
        </row>
        <row r="177">
          <cell r="A177" t="str">
            <v>T_C-MHY-DSL-S3</v>
          </cell>
          <cell r="B177" t="str">
            <v>VAR_fout</v>
          </cell>
          <cell r="C177" t="str">
            <v>CO2_T</v>
          </cell>
          <cell r="H177">
            <v>6.5151030611888842E-3</v>
          </cell>
          <cell r="I177">
            <v>1.619190874372697E-3</v>
          </cell>
        </row>
        <row r="178">
          <cell r="A178" t="str">
            <v>T_C-MHY-DSL-S3</v>
          </cell>
          <cell r="B178" t="str">
            <v>VAR_fout</v>
          </cell>
          <cell r="C178" t="str">
            <v>TPCAR</v>
          </cell>
          <cell r="H178">
            <v>4.0856400289768586E-5</v>
          </cell>
          <cell r="I178">
            <v>1.0562821866659782E-5</v>
          </cell>
        </row>
        <row r="179">
          <cell r="A179" t="str">
            <v>T_C-MHY-DSL-S3</v>
          </cell>
          <cell r="B179" t="str">
            <v>VAR_fin</v>
          </cell>
          <cell r="C179" t="str">
            <v>TDSL</v>
          </cell>
          <cell r="H179">
            <v>8.8882715705168857E-5</v>
          </cell>
          <cell r="I179">
            <v>2.2089916430732534E-5</v>
          </cell>
        </row>
        <row r="180">
          <cell r="A180" t="str">
            <v>T_C-MHY-DSL-S3</v>
          </cell>
          <cell r="B180" t="str">
            <v>VAR_ncap</v>
          </cell>
          <cell r="C180" t="str">
            <v>-</v>
          </cell>
        </row>
        <row r="181">
          <cell r="A181" t="str">
            <v>T_C-MHY-DSL-S3</v>
          </cell>
          <cell r="B181" t="str">
            <v>VAR_cap</v>
          </cell>
          <cell r="C181" t="str">
            <v>-</v>
          </cell>
          <cell r="H181">
            <v>3.2571662965048999E-6</v>
          </cell>
          <cell r="I181">
            <v>9.1159146749092203E-7</v>
          </cell>
        </row>
        <row r="182">
          <cell r="A182" t="str">
            <v>T_B_c-HYBDSL-S1</v>
          </cell>
          <cell r="B182" t="str">
            <v>VAR_fout</v>
          </cell>
          <cell r="C182" t="str">
            <v>CO2_T</v>
          </cell>
        </row>
        <row r="183">
          <cell r="A183" t="str">
            <v>T_B_c-HYBDSL-S1</v>
          </cell>
          <cell r="B183" t="str">
            <v>VAR_fout</v>
          </cell>
          <cell r="C183" t="str">
            <v>TPBSc</v>
          </cell>
        </row>
        <row r="184">
          <cell r="A184" t="str">
            <v>T_B_c-HYBDSL-S1</v>
          </cell>
          <cell r="B184" t="str">
            <v>VAR_fin</v>
          </cell>
          <cell r="C184" t="str">
            <v>TDSL</v>
          </cell>
        </row>
        <row r="185">
          <cell r="A185" t="str">
            <v>T_B_c-HYBDSL-S1</v>
          </cell>
          <cell r="B185" t="str">
            <v>VAR_ncap</v>
          </cell>
          <cell r="C185" t="str">
            <v>-</v>
          </cell>
        </row>
        <row r="186">
          <cell r="A186" t="str">
            <v>T_B_c-HYBDSL-S1</v>
          </cell>
          <cell r="B186" t="str">
            <v>VAR_cap</v>
          </cell>
          <cell r="C186" t="str">
            <v>-</v>
          </cell>
          <cell r="H186">
            <v>6.7141149004456072E-11</v>
          </cell>
        </row>
        <row r="187">
          <cell r="A187" t="str">
            <v>T_C-MHY-DSL-S4</v>
          </cell>
          <cell r="B187" t="str">
            <v>VAR_fout</v>
          </cell>
          <cell r="C187" t="str">
            <v>CO2_T</v>
          </cell>
          <cell r="H187">
            <v>4.4292862171891531E-3</v>
          </cell>
          <cell r="I187">
            <v>1.136657115766951E-3</v>
          </cell>
        </row>
        <row r="188">
          <cell r="A188" t="str">
            <v>T_C-MHY-DSL-S4</v>
          </cell>
          <cell r="B188" t="str">
            <v>VAR_fout</v>
          </cell>
          <cell r="C188" t="str">
            <v>TPCAR</v>
          </cell>
          <cell r="H188">
            <v>2.6446357024883979E-5</v>
          </cell>
          <cell r="I188">
            <v>7.0465083142449853E-6</v>
          </cell>
        </row>
        <row r="189">
          <cell r="A189" t="str">
            <v>T_C-MHY-DSL-S4</v>
          </cell>
          <cell r="B189" t="str">
            <v>VAR_fin</v>
          </cell>
          <cell r="C189" t="str">
            <v>TDSL</v>
          </cell>
          <cell r="H189">
            <v>6.0426824245418311E-5</v>
          </cell>
          <cell r="I189">
            <v>1.5506918359712831E-5</v>
          </cell>
        </row>
        <row r="190">
          <cell r="A190" t="str">
            <v>T_C-MHY-DSL-S4</v>
          </cell>
          <cell r="B190" t="str">
            <v>VAR_ncap</v>
          </cell>
          <cell r="C190" t="str">
            <v>-</v>
          </cell>
        </row>
        <row r="191">
          <cell r="A191" t="str">
            <v>T_C-MHY-DSL-S4</v>
          </cell>
          <cell r="B191" t="str">
            <v>VAR_cap</v>
          </cell>
          <cell r="C191" t="str">
            <v>-</v>
          </cell>
          <cell r="H191">
            <v>2.5451363232341099E-6</v>
          </cell>
          <cell r="I191">
            <v>7.3770217147501098E-7</v>
          </cell>
        </row>
        <row r="192">
          <cell r="A192" t="str">
            <v>T_B_c-HYBDSL-S2</v>
          </cell>
          <cell r="B192" t="str">
            <v>VAR_fout</v>
          </cell>
          <cell r="C192" t="str">
            <v>CO2_T</v>
          </cell>
        </row>
        <row r="193">
          <cell r="A193" t="str">
            <v>T_B_c-HYBDSL-S2</v>
          </cell>
          <cell r="B193" t="str">
            <v>VAR_fout</v>
          </cell>
          <cell r="C193" t="str">
            <v>TPBSc</v>
          </cell>
        </row>
        <row r="194">
          <cell r="A194" t="str">
            <v>T_B_c-HYBDSL-S2</v>
          </cell>
          <cell r="B194" t="str">
            <v>VAR_fin</v>
          </cell>
          <cell r="C194" t="str">
            <v>TDSL</v>
          </cell>
        </row>
        <row r="195">
          <cell r="A195" t="str">
            <v>T_B_c-HYBDSL-S2</v>
          </cell>
          <cell r="B195" t="str">
            <v>VAR_ncap</v>
          </cell>
          <cell r="C195" t="str">
            <v>-</v>
          </cell>
        </row>
        <row r="196">
          <cell r="A196" t="str">
            <v>T_B_c-HYBDSL-S2</v>
          </cell>
          <cell r="B196" t="str">
            <v>VAR_cap</v>
          </cell>
          <cell r="C196" t="str">
            <v>-</v>
          </cell>
          <cell r="H196">
            <v>5.0945925519401243E-11</v>
          </cell>
        </row>
        <row r="197">
          <cell r="A197" t="str">
            <v>T_C-BATELCEXT</v>
          </cell>
          <cell r="B197" t="str">
            <v>VAR_fout</v>
          </cell>
          <cell r="C197" t="str">
            <v>TPCAR</v>
          </cell>
        </row>
        <row r="198">
          <cell r="A198" t="str">
            <v>T_C-BATELCEXT</v>
          </cell>
          <cell r="B198" t="str">
            <v>VAR_fin</v>
          </cell>
          <cell r="C198" t="str">
            <v>T-ELC-car</v>
          </cell>
        </row>
        <row r="199">
          <cell r="A199" t="str">
            <v>T_C-BATELCEXT</v>
          </cell>
          <cell r="B199" t="str">
            <v>VAR_cap</v>
          </cell>
          <cell r="C199" t="str">
            <v>-</v>
          </cell>
        </row>
        <row r="200">
          <cell r="A200" t="str">
            <v>D-TDSL</v>
          </cell>
          <cell r="B200" t="str">
            <v>VAR_fout</v>
          </cell>
          <cell r="C200" t="str">
            <v>CO2</v>
          </cell>
          <cell r="H200">
            <v>2928.80908253287</v>
          </cell>
          <cell r="I200">
            <v>1552.8460568775799</v>
          </cell>
          <cell r="J200">
            <v>4.7538930764008098</v>
          </cell>
        </row>
        <row r="201">
          <cell r="A201" t="str">
            <v>D-TDSL</v>
          </cell>
          <cell r="B201" t="str">
            <v>VAR_fout</v>
          </cell>
          <cell r="C201" t="str">
            <v>TDSL</v>
          </cell>
          <cell r="H201">
            <v>39.369263267699267</v>
          </cell>
          <cell r="I201">
            <v>20.87346887580409</v>
          </cell>
          <cell r="J201">
            <v>6.3902174159286729E-2</v>
          </cell>
        </row>
        <row r="202">
          <cell r="A202" t="str">
            <v>D-TDSL</v>
          </cell>
          <cell r="B202" t="str">
            <v>VAR_fin</v>
          </cell>
          <cell r="C202" t="str">
            <v>DSL</v>
          </cell>
          <cell r="H202">
            <v>39.956467701676267</v>
          </cell>
          <cell r="I202">
            <v>21.184802958766454</v>
          </cell>
          <cell r="J202">
            <v>6.4855294357446164E-2</v>
          </cell>
        </row>
        <row r="203">
          <cell r="A203" t="str">
            <v>T_B_c-HYBDSL-S3</v>
          </cell>
          <cell r="B203" t="str">
            <v>VAR_fout</v>
          </cell>
          <cell r="C203" t="str">
            <v>CO2_T</v>
          </cell>
        </row>
        <row r="204">
          <cell r="A204" t="str">
            <v>T_B_c-HYBDSL-S3</v>
          </cell>
          <cell r="B204" t="str">
            <v>VAR_fout</v>
          </cell>
          <cell r="C204" t="str">
            <v>TPBSc</v>
          </cell>
        </row>
        <row r="205">
          <cell r="A205" t="str">
            <v>T_B_c-HYBDSL-S3</v>
          </cell>
          <cell r="B205" t="str">
            <v>VAR_fin</v>
          </cell>
          <cell r="C205" t="str">
            <v>TDSL</v>
          </cell>
        </row>
        <row r="206">
          <cell r="A206" t="str">
            <v>T_B_c-HYBDSL-S3</v>
          </cell>
          <cell r="B206" t="str">
            <v>VAR_ncap</v>
          </cell>
          <cell r="C206" t="str">
            <v>-</v>
          </cell>
        </row>
        <row r="207">
          <cell r="A207" t="str">
            <v>T_B_c-HYBDSL-S3</v>
          </cell>
          <cell r="B207" t="str">
            <v>VAR_cap</v>
          </cell>
          <cell r="C207" t="str">
            <v>-</v>
          </cell>
        </row>
        <row r="208">
          <cell r="A208" t="str">
            <v>T-Bat-Car-STG_S1</v>
          </cell>
          <cell r="B208" t="str">
            <v>VAR_fout</v>
          </cell>
          <cell r="C208" t="str">
            <v>T-ELC-car-BatSTGAUXout_S1</v>
          </cell>
          <cell r="H208">
            <v>1.1225479382473667</v>
          </cell>
          <cell r="I208">
            <v>1.5919780855327517</v>
          </cell>
          <cell r="J208">
            <v>1.7928087511085056</v>
          </cell>
        </row>
        <row r="209">
          <cell r="A209" t="str">
            <v>T-Bat-Car-STG_S1</v>
          </cell>
          <cell r="B209" t="str">
            <v>VAR_fout</v>
          </cell>
          <cell r="C209" t="str">
            <v>T-ELC-car-BatSTGOut_S1</v>
          </cell>
          <cell r="H209">
            <v>1.1225479382473664</v>
          </cell>
          <cell r="I209">
            <v>1.5919780855327512</v>
          </cell>
          <cell r="J209">
            <v>1.7928087511085051</v>
          </cell>
        </row>
        <row r="210">
          <cell r="A210" t="str">
            <v>T-Bat-Car-STG_S1</v>
          </cell>
          <cell r="B210" t="str">
            <v>VAR_fin</v>
          </cell>
          <cell r="C210" t="str">
            <v>T-ELC-car-BatSTGAUXin_S1</v>
          </cell>
          <cell r="H210">
            <v>1.1226604584453825</v>
          </cell>
          <cell r="I210">
            <v>1.5921375047027808</v>
          </cell>
          <cell r="J210">
            <v>1.7929882236259655</v>
          </cell>
        </row>
        <row r="211">
          <cell r="A211" t="str">
            <v>T-Bat-Car-STG_S1</v>
          </cell>
          <cell r="B211" t="str">
            <v>VAR_fin</v>
          </cell>
          <cell r="C211" t="str">
            <v>T-ELC-car-BatSTGin_S1</v>
          </cell>
          <cell r="H211">
            <v>1.1226604584453825</v>
          </cell>
          <cell r="I211">
            <v>1.5921375047027808</v>
          </cell>
          <cell r="J211">
            <v>1.7929882236259655</v>
          </cell>
        </row>
        <row r="212">
          <cell r="A212" t="str">
            <v>T-Bat-Car-STG_S1</v>
          </cell>
          <cell r="B212" t="str">
            <v>VAR_ncap</v>
          </cell>
          <cell r="C212" t="str">
            <v>-</v>
          </cell>
          <cell r="H212">
            <v>14.668482318763701</v>
          </cell>
          <cell r="I212">
            <v>11.5269055826684</v>
          </cell>
          <cell r="J212">
            <v>21.830048882520298</v>
          </cell>
        </row>
        <row r="213">
          <cell r="A213" t="str">
            <v>T-Bat-Car-STG_S1</v>
          </cell>
          <cell r="B213" t="str">
            <v>VAR_cap</v>
          </cell>
          <cell r="C213" t="str">
            <v>-</v>
          </cell>
          <cell r="H213">
            <v>23.06761991488122</v>
          </cell>
          <cell r="I213">
            <v>27.844752802515096</v>
          </cell>
          <cell r="J213">
            <v>28.097401296466504</v>
          </cell>
        </row>
        <row r="214">
          <cell r="A214" t="str">
            <v>TFHGV-ICEDSLExt</v>
          </cell>
          <cell r="B214" t="str">
            <v>VAR_fout</v>
          </cell>
          <cell r="C214" t="str">
            <v>CO2_T</v>
          </cell>
        </row>
        <row r="215">
          <cell r="A215" t="str">
            <v>TFHGV-ICEDSLExt</v>
          </cell>
          <cell r="B215" t="str">
            <v>VAR_fout</v>
          </cell>
          <cell r="C215" t="str">
            <v>TFHGV</v>
          </cell>
        </row>
        <row r="216">
          <cell r="A216" t="str">
            <v>TFHGV-ICEDSLExt</v>
          </cell>
          <cell r="B216" t="str">
            <v>VAR_fin</v>
          </cell>
          <cell r="C216" t="str">
            <v>TDSL</v>
          </cell>
        </row>
        <row r="217">
          <cell r="A217" t="str">
            <v>TFHGV-ICEDSLExt</v>
          </cell>
          <cell r="B217" t="str">
            <v>VAR_cap</v>
          </cell>
          <cell r="C217" t="str">
            <v>-</v>
          </cell>
        </row>
        <row r="218">
          <cell r="A218" t="str">
            <v>TPSHPGSLEXT</v>
          </cell>
          <cell r="B218" t="str">
            <v>VAR_fout</v>
          </cell>
          <cell r="C218" t="str">
            <v>TPSHP</v>
          </cell>
          <cell r="H218">
            <v>1.3358270907744201E-4</v>
          </cell>
          <cell r="I218">
            <v>4.7942545753368898E-5</v>
          </cell>
        </row>
        <row r="219">
          <cell r="A219" t="str">
            <v>TPSHPGSLEXT</v>
          </cell>
          <cell r="B219" t="str">
            <v>VAR_fout</v>
          </cell>
          <cell r="C219" t="str">
            <v>CO2_T</v>
          </cell>
          <cell r="H219">
            <v>1.0876291359362101E-2</v>
          </cell>
          <cell r="I219">
            <v>3.9034774764216901E-3</v>
          </cell>
        </row>
        <row r="220">
          <cell r="A220" t="str">
            <v>TPSHPGSLEXT</v>
          </cell>
          <cell r="B220" t="str">
            <v>VAR_fin</v>
          </cell>
          <cell r="C220" t="str">
            <v>TGSL</v>
          </cell>
          <cell r="H220">
            <v>1.4737522167157255E-4</v>
          </cell>
          <cell r="I220">
            <v>5.2892648732001435E-5</v>
          </cell>
        </row>
        <row r="221">
          <cell r="A221" t="str">
            <v>TPSHPGSLEXT</v>
          </cell>
          <cell r="B221" t="str">
            <v>VAR_ncap</v>
          </cell>
          <cell r="C221" t="str">
            <v>-</v>
          </cell>
          <cell r="H221">
            <v>7.0216960840906705E-7</v>
          </cell>
          <cell r="I221">
            <v>4.7072806214199998E-7</v>
          </cell>
          <cell r="J221">
            <v>1.27942449787313E-7</v>
          </cell>
        </row>
        <row r="222">
          <cell r="A222" t="str">
            <v>TPSHPGSLEXT</v>
          </cell>
          <cell r="B222" t="str">
            <v>VAR_cap</v>
          </cell>
          <cell r="C222" t="str">
            <v>-</v>
          </cell>
          <cell r="H222">
            <v>1.3363773770769249E-4</v>
          </cell>
          <cell r="I222">
            <v>4.7441857118690756E-5</v>
          </cell>
          <cell r="J222">
            <v>4.2665845723609302E-7</v>
          </cell>
        </row>
        <row r="223">
          <cell r="A223" t="str">
            <v>T-Bat-Car-STG_S2</v>
          </cell>
          <cell r="B223" t="str">
            <v>VAR_fout</v>
          </cell>
          <cell r="C223" t="str">
            <v>T-ELC-car-BatSTGAUXout_S2</v>
          </cell>
          <cell r="H223">
            <v>11.348964545243909</v>
          </cell>
          <cell r="I223">
            <v>12.588145840103243</v>
          </cell>
          <cell r="J223">
            <v>11.554869706750898</v>
          </cell>
        </row>
        <row r="224">
          <cell r="A224" t="str">
            <v>T-Bat-Car-STG_S2</v>
          </cell>
          <cell r="B224" t="str">
            <v>VAR_fout</v>
          </cell>
          <cell r="C224" t="str">
            <v>T-ELC-car-BatSTGOut_S2</v>
          </cell>
          <cell r="H224">
            <v>11.348964545243906</v>
          </cell>
          <cell r="I224">
            <v>12.588145840103241</v>
          </cell>
          <cell r="J224">
            <v>11.554869706750894</v>
          </cell>
        </row>
        <row r="225">
          <cell r="A225" t="str">
            <v>T-Bat-Car-STG_S2</v>
          </cell>
          <cell r="B225" t="str">
            <v>VAR_fin</v>
          </cell>
          <cell r="C225" t="str">
            <v>T-ELC-car-BatSTGAUXin_S2</v>
          </cell>
          <cell r="H225">
            <v>11.350099804857043</v>
          </cell>
          <cell r="I225">
            <v>12.589404983646716</v>
          </cell>
          <cell r="J225">
            <v>11.556025463136235</v>
          </cell>
        </row>
        <row r="226">
          <cell r="A226" t="str">
            <v>T-Bat-Car-STG_S2</v>
          </cell>
          <cell r="B226" t="str">
            <v>VAR_fin</v>
          </cell>
          <cell r="C226" t="str">
            <v>T-ELC-car-BatSTGin_S2</v>
          </cell>
          <cell r="H226">
            <v>11.350099804857043</v>
          </cell>
          <cell r="I226">
            <v>12.589404983646716</v>
          </cell>
          <cell r="J226">
            <v>11.556025463136235</v>
          </cell>
        </row>
        <row r="227">
          <cell r="A227" t="str">
            <v>T-Bat-Car-STG_S2</v>
          </cell>
          <cell r="B227" t="str">
            <v>VAR_ncap</v>
          </cell>
          <cell r="C227" t="str">
            <v>-</v>
          </cell>
          <cell r="H227">
            <v>163.13032318434901</v>
          </cell>
          <cell r="I227">
            <v>103.956926544157</v>
          </cell>
          <cell r="J227">
            <v>190.41906854980101</v>
          </cell>
        </row>
        <row r="228">
          <cell r="A228" t="str">
            <v>T-Bat-Car-STG_S2</v>
          </cell>
          <cell r="B228" t="str">
            <v>VAR_cap</v>
          </cell>
          <cell r="C228" t="str">
            <v>-</v>
          </cell>
          <cell r="H228">
            <v>220.09291356099504</v>
          </cell>
          <cell r="I228">
            <v>197.05085197091748</v>
          </cell>
          <cell r="J228">
            <v>214.22550235329931</v>
          </cell>
        </row>
        <row r="229">
          <cell r="A229" t="str">
            <v>T_TW-ICEGSL-S1</v>
          </cell>
          <cell r="B229" t="str">
            <v>VAR_fout</v>
          </cell>
          <cell r="C229" t="str">
            <v>CO2_T</v>
          </cell>
          <cell r="H229">
            <v>66.385903623485476</v>
          </cell>
          <cell r="I229">
            <v>57.392622868875534</v>
          </cell>
          <cell r="J229">
            <v>13.201897366878988</v>
          </cell>
        </row>
        <row r="230">
          <cell r="A230" t="str">
            <v>T_TW-ICEGSL-S1</v>
          </cell>
          <cell r="B230" t="str">
            <v>VAR_fout</v>
          </cell>
          <cell r="C230" t="str">
            <v>TPTWL</v>
          </cell>
          <cell r="H230">
            <v>1.8214698880288387</v>
          </cell>
          <cell r="I230">
            <v>1.6024271704558066</v>
          </cell>
          <cell r="J230">
            <v>0.37090328266128159</v>
          </cell>
        </row>
        <row r="231">
          <cell r="A231" t="str">
            <v>T_TW-ICEGSL-S1</v>
          </cell>
          <cell r="B231" t="str">
            <v>VAR_fin</v>
          </cell>
          <cell r="C231" t="str">
            <v>TGSL</v>
          </cell>
          <cell r="H231">
            <v>0.89953798947812302</v>
          </cell>
          <cell r="I231">
            <v>0.77767781665142888</v>
          </cell>
          <cell r="J231">
            <v>0.17888749819619212</v>
          </cell>
        </row>
        <row r="232">
          <cell r="A232" t="str">
            <v>T_TW-ICEGSL-S1</v>
          </cell>
          <cell r="B232" t="str">
            <v>VAR_ncap</v>
          </cell>
          <cell r="C232" t="str">
            <v>-</v>
          </cell>
          <cell r="H232">
            <v>0.40818876912472701</v>
          </cell>
          <cell r="I232">
            <v>0.21360910695257099</v>
          </cell>
          <cell r="J232">
            <v>1.7709739533254299E-5</v>
          </cell>
        </row>
        <row r="233">
          <cell r="A233" t="str">
            <v>T_TW-ICEGSL-S1</v>
          </cell>
          <cell r="B233" t="str">
            <v>VAR_cap</v>
          </cell>
          <cell r="C233" t="str">
            <v>-</v>
          </cell>
          <cell r="H233">
            <v>0.70460940367094238</v>
          </cell>
          <cell r="I233">
            <v>0.66379084752205653</v>
          </cell>
          <cell r="J233">
            <v>0.1787762688499433</v>
          </cell>
        </row>
        <row r="234">
          <cell r="A234" t="str">
            <v>TPSHPDSLEXT</v>
          </cell>
          <cell r="B234" t="str">
            <v>VAR_fout</v>
          </cell>
          <cell r="C234" t="str">
            <v>TPSHP</v>
          </cell>
          <cell r="H234">
            <v>15.981151009500801</v>
          </cell>
          <cell r="I234">
            <v>7.6111242815872897</v>
          </cell>
          <cell r="J234">
            <v>2.0189391999868098</v>
          </cell>
        </row>
        <row r="235">
          <cell r="A235" t="str">
            <v>TPSHPDSLEXT</v>
          </cell>
          <cell r="B235" t="str">
            <v>VAR_fout</v>
          </cell>
          <cell r="C235" t="str">
            <v>CO2_T</v>
          </cell>
          <cell r="H235">
            <v>1185.3224620681401</v>
          </cell>
          <cell r="I235">
            <v>564.51732213744799</v>
          </cell>
          <cell r="J235">
            <v>149.74478257989901</v>
          </cell>
        </row>
        <row r="236">
          <cell r="A236" t="str">
            <v>TPSHPDSLEXT</v>
          </cell>
          <cell r="B236" t="str">
            <v>VAR_fin</v>
          </cell>
          <cell r="C236" t="str">
            <v>TDSL</v>
          </cell>
          <cell r="H236">
            <v>16.170838500247392</v>
          </cell>
          <cell r="I236">
            <v>7.7014641492148508</v>
          </cell>
          <cell r="J236">
            <v>2.0429029001350507</v>
          </cell>
        </row>
        <row r="237">
          <cell r="A237" t="str">
            <v>TPSHPDSLEXT</v>
          </cell>
          <cell r="B237" t="str">
            <v>VAR_ncap</v>
          </cell>
          <cell r="C237" t="str">
            <v>-</v>
          </cell>
          <cell r="H237">
            <v>1.7263581505358899E-6</v>
          </cell>
          <cell r="I237">
            <v>2.0189380454975501</v>
          </cell>
          <cell r="J237">
            <v>5.4889634468571502E-7</v>
          </cell>
        </row>
        <row r="238">
          <cell r="A238" t="str">
            <v>TPSHPDSLEXT</v>
          </cell>
          <cell r="B238" t="str">
            <v>VAR_cap</v>
          </cell>
          <cell r="C238" t="str">
            <v>-</v>
          </cell>
          <cell r="H238">
            <v>15.981151243251022</v>
          </cell>
          <cell r="I238">
            <v>7.6111241887351886</v>
          </cell>
          <cell r="J238">
            <v>2.018939152753231</v>
          </cell>
        </row>
        <row r="239">
          <cell r="A239" t="str">
            <v>T-Bat-Car-STG_S3</v>
          </cell>
          <cell r="B239" t="str">
            <v>VAR_fout</v>
          </cell>
          <cell r="C239" t="str">
            <v>T-ELC-car-BatSTGAUXout_S3</v>
          </cell>
          <cell r="H239">
            <v>1.3567463036484386</v>
          </cell>
          <cell r="I239">
            <v>5.2368886662993939</v>
          </cell>
          <cell r="J239">
            <v>10.006989535383079</v>
          </cell>
        </row>
        <row r="240">
          <cell r="A240" t="str">
            <v>T-Bat-Car-STG_S3</v>
          </cell>
          <cell r="B240" t="str">
            <v>VAR_fout</v>
          </cell>
          <cell r="C240" t="str">
            <v>T-ELC-car-BatSTGOut_S3</v>
          </cell>
          <cell r="H240">
            <v>1.3567463036484384</v>
          </cell>
          <cell r="I240">
            <v>5.2368886662993939</v>
          </cell>
          <cell r="J240">
            <v>10.006989535383076</v>
          </cell>
        </row>
        <row r="241">
          <cell r="A241" t="str">
            <v>T-Bat-Car-STG_S3</v>
          </cell>
          <cell r="B241" t="str">
            <v>VAR_fin</v>
          </cell>
          <cell r="C241" t="str">
            <v>T-ELC-car-BatSTGAUXin_S3</v>
          </cell>
          <cell r="H241">
            <v>1.3568822382944008</v>
          </cell>
          <cell r="I241">
            <v>5.2374126113954835</v>
          </cell>
          <cell r="J241">
            <v>10.00799048814036</v>
          </cell>
        </row>
        <row r="242">
          <cell r="A242" t="str">
            <v>T-Bat-Car-STG_S3</v>
          </cell>
          <cell r="B242" t="str">
            <v>VAR_fin</v>
          </cell>
          <cell r="C242" t="str">
            <v>T-ELC-car-BatSTGin_S3</v>
          </cell>
          <cell r="H242">
            <v>1.3568822382944008</v>
          </cell>
          <cell r="I242">
            <v>5.2374126113954835</v>
          </cell>
          <cell r="J242">
            <v>10.00799048814036</v>
          </cell>
        </row>
        <row r="243">
          <cell r="A243" t="str">
            <v>T-Bat-Car-STG_S3</v>
          </cell>
          <cell r="B243" t="str">
            <v>VAR_ncap</v>
          </cell>
          <cell r="C243" t="str">
            <v>-</v>
          </cell>
          <cell r="H243">
            <v>15.7367390270031</v>
          </cell>
          <cell r="I243">
            <v>66.011453759503098</v>
          </cell>
          <cell r="J243">
            <v>136.28393811347999</v>
          </cell>
        </row>
        <row r="244">
          <cell r="A244" t="str">
            <v>T-Bat-Car-STG_S3</v>
          </cell>
          <cell r="B244" t="str">
            <v>VAR_cap</v>
          </cell>
          <cell r="C244" t="str">
            <v>-</v>
          </cell>
          <cell r="H244">
            <v>19.528525447624727</v>
          </cell>
          <cell r="I244">
            <v>77.262610076086332</v>
          </cell>
          <cell r="J244">
            <v>152.63582792431708</v>
          </cell>
        </row>
        <row r="245">
          <cell r="A245" t="str">
            <v>T_TW-ICEGSL-S2</v>
          </cell>
          <cell r="B245" t="str">
            <v>VAR_fout</v>
          </cell>
          <cell r="C245" t="str">
            <v>CO2_T</v>
          </cell>
          <cell r="H245">
            <v>0.69520568665008786</v>
          </cell>
          <cell r="I245">
            <v>4.2339953875320498E-3</v>
          </cell>
          <cell r="J245">
            <v>1.8580419596751292E-3</v>
          </cell>
        </row>
        <row r="246">
          <cell r="A246" t="str">
            <v>T_TW-ICEGSL-S2</v>
          </cell>
          <cell r="B246" t="str">
            <v>VAR_fout</v>
          </cell>
          <cell r="C246" t="str">
            <v>TPTWL</v>
          </cell>
          <cell r="H246">
            <v>1.0438307660169493E-2</v>
          </cell>
          <cell r="I246">
            <v>6.7691312100325428E-5</v>
          </cell>
          <cell r="J246">
            <v>3.0470914332634434E-5</v>
          </cell>
        </row>
        <row r="247">
          <cell r="A247" t="str">
            <v>T_TW-ICEGSL-S2</v>
          </cell>
          <cell r="B247" t="str">
            <v>VAR_fin</v>
          </cell>
          <cell r="C247" t="str">
            <v>TGSL</v>
          </cell>
          <cell r="H247">
            <v>9.4201312554212501E-3</v>
          </cell>
          <cell r="I247">
            <v>5.7371211213171481E-5</v>
          </cell>
          <cell r="J247">
            <v>2.5176720320801183E-5</v>
          </cell>
        </row>
        <row r="248">
          <cell r="A248" t="str">
            <v>T_TW-ICEGSL-S2</v>
          </cell>
          <cell r="B248" t="str">
            <v>VAR_ncap</v>
          </cell>
          <cell r="C248" t="str">
            <v>-</v>
          </cell>
          <cell r="H248">
            <v>1.24620755647106E-5</v>
          </cell>
          <cell r="I248">
            <v>8.3155550856431293E-6</v>
          </cell>
          <cell r="J248">
            <v>3.6839562779158699E-6</v>
          </cell>
        </row>
        <row r="249">
          <cell r="A249" t="str">
            <v>T_TW-ICEGSL-S2</v>
          </cell>
          <cell r="B249" t="str">
            <v>VAR_cap</v>
          </cell>
          <cell r="C249" t="str">
            <v>-</v>
          </cell>
          <cell r="H249">
            <v>5.0095599713157841E-3</v>
          </cell>
          <cell r="I249">
            <v>2.7385751203263906E-5</v>
          </cell>
          <cell r="J249">
            <v>1.3362343969206947E-5</v>
          </cell>
        </row>
        <row r="250">
          <cell r="A250" t="str">
            <v>T-Bat-Car-STG_S4</v>
          </cell>
          <cell r="B250" t="str">
            <v>VAR_fout</v>
          </cell>
          <cell r="C250" t="str">
            <v>T-ELC-car-BatSTGAUXout_S4</v>
          </cell>
          <cell r="H250">
            <v>17.043012574991746</v>
          </cell>
          <cell r="I250">
            <v>17.689343177253953</v>
          </cell>
          <cell r="J250">
            <v>16.94380416346084</v>
          </cell>
        </row>
        <row r="251">
          <cell r="A251" t="str">
            <v>T-Bat-Car-STG_S4</v>
          </cell>
          <cell r="B251" t="str">
            <v>VAR_fout</v>
          </cell>
          <cell r="C251" t="str">
            <v>T-ELC-car-BatSTGOut_S4</v>
          </cell>
          <cell r="H251">
            <v>17.043012574991746</v>
          </cell>
          <cell r="I251">
            <v>17.689343177253953</v>
          </cell>
          <cell r="J251">
            <v>16.94380416346084</v>
          </cell>
        </row>
        <row r="252">
          <cell r="A252" t="str">
            <v>T-Bat-Car-STG_S4</v>
          </cell>
          <cell r="B252" t="str">
            <v>VAR_fin</v>
          </cell>
          <cell r="C252" t="str">
            <v>T-ELC-car-BatSTGAUXin_S4</v>
          </cell>
          <cell r="H252">
            <v>17.044717299067319</v>
          </cell>
          <cell r="I252">
            <v>17.691112469773259</v>
          </cell>
          <cell r="J252">
            <v>16.945498867346309</v>
          </cell>
        </row>
        <row r="253">
          <cell r="A253" t="str">
            <v>T-Bat-Car-STG_S4</v>
          </cell>
          <cell r="B253" t="str">
            <v>VAR_fin</v>
          </cell>
          <cell r="C253" t="str">
            <v>T-ELC-car-BatSTGin_S4</v>
          </cell>
          <cell r="H253">
            <v>17.044717299067319</v>
          </cell>
          <cell r="I253">
            <v>17.691112469773259</v>
          </cell>
          <cell r="J253">
            <v>16.945498867346309</v>
          </cell>
        </row>
        <row r="254">
          <cell r="A254" t="str">
            <v>T-Bat-Car-STG_S4</v>
          </cell>
          <cell r="B254" t="str">
            <v>VAR_ncap</v>
          </cell>
          <cell r="C254" t="str">
            <v>-</v>
          </cell>
          <cell r="H254">
            <v>153.22092058658799</v>
          </cell>
          <cell r="I254">
            <v>133.82890563935501</v>
          </cell>
          <cell r="J254">
            <v>286.93044925038703</v>
          </cell>
        </row>
        <row r="255">
          <cell r="A255" t="str">
            <v>T-Bat-Car-STG_S4</v>
          </cell>
          <cell r="B255" t="str">
            <v>VAR_cap</v>
          </cell>
          <cell r="C255" t="str">
            <v>-</v>
          </cell>
          <cell r="H255">
            <v>235.31511700739807</v>
          </cell>
          <cell r="I255">
            <v>232.59046970768742</v>
          </cell>
          <cell r="J255">
            <v>299.15127595376907</v>
          </cell>
        </row>
        <row r="256">
          <cell r="A256" t="str">
            <v>T_TW-ICEGSL-S3</v>
          </cell>
          <cell r="B256" t="str">
            <v>VAR_fout</v>
          </cell>
          <cell r="C256" t="str">
            <v>CO2_T</v>
          </cell>
          <cell r="H256">
            <v>13.836812266462426</v>
          </cell>
          <cell r="I256">
            <v>3.3449881043163083</v>
          </cell>
          <cell r="J256">
            <v>1.8666428959290479E-3</v>
          </cell>
        </row>
        <row r="257">
          <cell r="A257" t="str">
            <v>T_TW-ICEGSL-S3</v>
          </cell>
          <cell r="B257" t="str">
            <v>VAR_fout</v>
          </cell>
          <cell r="C257" t="str">
            <v>TPTWL</v>
          </cell>
          <cell r="H257">
            <v>0.13690828665053548</v>
          </cell>
          <cell r="I257">
            <v>3.3139051709585907E-2</v>
          </cell>
          <cell r="J257">
            <v>2.0037541895048939E-5</v>
          </cell>
        </row>
        <row r="258">
          <cell r="A258" t="str">
            <v>T_TW-ICEGSL-S3</v>
          </cell>
          <cell r="B258" t="str">
            <v>VAR_fin</v>
          </cell>
          <cell r="C258" t="str">
            <v>TGSL</v>
          </cell>
          <cell r="H258">
            <v>0.18749068111737724</v>
          </cell>
          <cell r="I258">
            <v>4.5325042063906577E-2</v>
          </cell>
          <cell r="J258">
            <v>2.5293264172480325E-5</v>
          </cell>
        </row>
        <row r="259">
          <cell r="A259" t="str">
            <v>T_TW-ICEGSL-S3</v>
          </cell>
          <cell r="B259" t="str">
            <v>VAR_ncap</v>
          </cell>
          <cell r="C259" t="str">
            <v>-</v>
          </cell>
          <cell r="H259">
            <v>3.9321831074273798E-6</v>
          </cell>
          <cell r="I259">
            <v>2.8429612873079799E-6</v>
          </cell>
          <cell r="J259">
            <v>1.8788053217262899E-6</v>
          </cell>
        </row>
        <row r="260">
          <cell r="A260" t="str">
            <v>T_TW-ICEGSL-S3</v>
          </cell>
          <cell r="B260" t="str">
            <v>VAR_cap</v>
          </cell>
          <cell r="C260" t="str">
            <v>-</v>
          </cell>
          <cell r="H260">
            <v>6.5951944467703763E-2</v>
          </cell>
          <cell r="I260">
            <v>1.5955835142866016E-2</v>
          </cell>
          <cell r="J260">
            <v>9.2021815602997749E-6</v>
          </cell>
        </row>
        <row r="261">
          <cell r="A261" t="str">
            <v>T_C-ICEGSLEXT</v>
          </cell>
          <cell r="B261" t="str">
            <v>VAR_fout</v>
          </cell>
          <cell r="C261" t="str">
            <v>CO2_T</v>
          </cell>
        </row>
        <row r="262">
          <cell r="A262" t="str">
            <v>T_C-ICEGSLEXT</v>
          </cell>
          <cell r="B262" t="str">
            <v>VAR_fout</v>
          </cell>
          <cell r="C262" t="str">
            <v>TPCAR</v>
          </cell>
        </row>
        <row r="263">
          <cell r="A263" t="str">
            <v>T_C-ICEGSLEXT</v>
          </cell>
          <cell r="B263" t="str">
            <v>VAR_fin</v>
          </cell>
          <cell r="C263" t="str">
            <v>TGSL</v>
          </cell>
        </row>
        <row r="264">
          <cell r="A264" t="str">
            <v>T_C-ICEGSLEXT</v>
          </cell>
          <cell r="B264" t="str">
            <v>VAR_cap</v>
          </cell>
          <cell r="C264" t="str">
            <v>-</v>
          </cell>
        </row>
        <row r="265">
          <cell r="A265" t="str">
            <v>T_TW-ICEGSL-S4</v>
          </cell>
          <cell r="B265" t="str">
            <v>VAR_fout</v>
          </cell>
          <cell r="C265" t="str">
            <v>CO2_T</v>
          </cell>
          <cell r="H265">
            <v>9.2620928223627175</v>
          </cell>
          <cell r="I265">
            <v>8.3870654420270387</v>
          </cell>
          <cell r="J265">
            <v>5.1259078847993239E-3</v>
          </cell>
        </row>
        <row r="266">
          <cell r="A266" t="str">
            <v>T_TW-ICEGSL-S4</v>
          </cell>
          <cell r="B266" t="str">
            <v>VAR_fout</v>
          </cell>
          <cell r="C266" t="str">
            <v>TPTWL</v>
          </cell>
          <cell r="H266">
            <v>8.4892216927523328E-2</v>
          </cell>
          <cell r="I266">
            <v>7.687972331116058E-2</v>
          </cell>
          <cell r="J266">
            <v>4.8139964089041287E-5</v>
          </cell>
        </row>
        <row r="267">
          <cell r="A267" t="str">
            <v>T_TW-ICEGSL-S4</v>
          </cell>
          <cell r="B267" t="str">
            <v>VAR_fin</v>
          </cell>
          <cell r="C267" t="str">
            <v>TGSL</v>
          </cell>
          <cell r="H267">
            <v>0.12550261276914249</v>
          </cell>
          <cell r="I267">
            <v>0.11364587319819817</v>
          </cell>
          <cell r="J267">
            <v>6.9456746406494778E-5</v>
          </cell>
        </row>
        <row r="268">
          <cell r="A268" t="str">
            <v>T_TW-ICEGSL-S4</v>
          </cell>
          <cell r="B268" t="str">
            <v>VAR_ncap</v>
          </cell>
          <cell r="C268" t="str">
            <v>-</v>
          </cell>
          <cell r="H268">
            <v>2.09707342181914E-6</v>
          </cell>
          <cell r="I268">
            <v>1.74353453443741E-6</v>
          </cell>
          <cell r="J268">
            <v>1.2123794399442999E-6</v>
          </cell>
        </row>
        <row r="269">
          <cell r="A269" t="str">
            <v>T_TW-ICEGSL-S4</v>
          </cell>
          <cell r="B269" t="str">
            <v>VAR_cap</v>
          </cell>
          <cell r="C269" t="str">
            <v>-</v>
          </cell>
          <cell r="H269">
            <v>4.0885605582759485E-2</v>
          </cell>
          <cell r="I269">
            <v>3.7033374098586883E-2</v>
          </cell>
          <cell r="J269">
            <v>2.2419594100642898E-5</v>
          </cell>
        </row>
        <row r="270">
          <cell r="A270" t="str">
            <v>T_C-ICEDSLEXT</v>
          </cell>
          <cell r="B270" t="str">
            <v>VAR_fout</v>
          </cell>
          <cell r="C270" t="str">
            <v>CO2_T</v>
          </cell>
        </row>
        <row r="271">
          <cell r="A271" t="str">
            <v>T_C-ICEDSLEXT</v>
          </cell>
          <cell r="B271" t="str">
            <v>VAR_fout</v>
          </cell>
          <cell r="C271" t="str">
            <v>TPCAR</v>
          </cell>
        </row>
        <row r="272">
          <cell r="A272" t="str">
            <v>T_C-ICEDSLEXT</v>
          </cell>
          <cell r="B272" t="str">
            <v>VAR_fin</v>
          </cell>
          <cell r="C272" t="str">
            <v>TDSL</v>
          </cell>
        </row>
        <row r="273">
          <cell r="A273" t="str">
            <v>T_C-ICEDSLEXT</v>
          </cell>
          <cell r="B273" t="str">
            <v>VAR_cap</v>
          </cell>
          <cell r="C273" t="str">
            <v>-</v>
          </cell>
        </row>
        <row r="274">
          <cell r="A274" t="str">
            <v>T-Plg-ELC-GSL_S1</v>
          </cell>
          <cell r="B274" t="str">
            <v>VAR_fout</v>
          </cell>
          <cell r="C274" t="str">
            <v>T-PEVmix-ELC_GSL_S1</v>
          </cell>
          <cell r="H274">
            <v>5.7917895552076759E-5</v>
          </cell>
          <cell r="I274">
            <v>4.4019392134762351E-5</v>
          </cell>
          <cell r="J274">
            <v>1.2039960873438258E-5</v>
          </cell>
        </row>
        <row r="275">
          <cell r="A275" t="str">
            <v>T-Plg-ELC-GSL_S1</v>
          </cell>
          <cell r="B275" t="str">
            <v>VAR_fin</v>
          </cell>
          <cell r="C275" t="str">
            <v>T-ELC-car-PlgSTGOut_S1</v>
          </cell>
          <cell r="H275">
            <v>3.105199113008386E-5</v>
          </cell>
          <cell r="I275">
            <v>2.3046464554763136E-5</v>
          </cell>
          <cell r="J275">
            <v>5.9225002056236334E-6</v>
          </cell>
        </row>
        <row r="276">
          <cell r="A276" t="str">
            <v>T-Plg-ELC-GSL_S2</v>
          </cell>
          <cell r="B276" t="str">
            <v>VAR_fout</v>
          </cell>
          <cell r="C276" t="str">
            <v>T-PEVmix-ELC_GSL_S2</v>
          </cell>
          <cell r="H276">
            <v>2.9582832109213194E-3</v>
          </cell>
          <cell r="I276">
            <v>2.9948648431542095E-4</v>
          </cell>
          <cell r="J276">
            <v>4.023614283547969E-5</v>
          </cell>
        </row>
        <row r="277">
          <cell r="A277" t="str">
            <v>T-Plg-ELC-GSL_S2</v>
          </cell>
          <cell r="B277" t="str">
            <v>VAR_fin</v>
          </cell>
          <cell r="C277" t="str">
            <v>T-ELC-car-PlgSTGOut_S2</v>
          </cell>
          <cell r="H277">
            <v>1.8823020692131701E-3</v>
          </cell>
          <cell r="I277">
            <v>1.8720446923203756E-4</v>
          </cell>
          <cell r="J277">
            <v>2.3744089545858841E-5</v>
          </cell>
        </row>
        <row r="278">
          <cell r="A278" t="str">
            <v>T-Plg-ELC-DSL_S1</v>
          </cell>
          <cell r="B278" t="str">
            <v>VAR_fout</v>
          </cell>
          <cell r="C278" t="str">
            <v>T-PEVmix-ELC_DSL_S1</v>
          </cell>
          <cell r="H278">
            <v>5.9832367953257604E-5</v>
          </cell>
          <cell r="I278">
            <v>4.5510354655003061E-5</v>
          </cell>
          <cell r="J278">
            <v>1.2312644906741591E-5</v>
          </cell>
        </row>
        <row r="279">
          <cell r="A279" t="str">
            <v>T-Plg-ELC-DSL_S1</v>
          </cell>
          <cell r="B279" t="str">
            <v>VAR_fin</v>
          </cell>
          <cell r="C279" t="str">
            <v>T-ELC-car-PlgSTGOut_S1</v>
          </cell>
          <cell r="H279">
            <v>3.2077854866946666E-5</v>
          </cell>
          <cell r="I279">
            <v>2.3825563841995208E-5</v>
          </cell>
          <cell r="J279">
            <v>6.0560594550189823E-6</v>
          </cell>
        </row>
        <row r="280">
          <cell r="A280" t="str">
            <v>T_TRM_ELC</v>
          </cell>
          <cell r="B280" t="str">
            <v>VAR_fout</v>
          </cell>
          <cell r="C280" t="str">
            <v>TPTRM</v>
          </cell>
          <cell r="H280">
            <v>4.0928719476428004E-2</v>
          </cell>
          <cell r="I280">
            <v>4.2119135360366218E-2</v>
          </cell>
          <cell r="J280">
            <v>4.4155096622090266E-2</v>
          </cell>
        </row>
        <row r="281">
          <cell r="A281" t="str">
            <v>T_TRM_ELC</v>
          </cell>
          <cell r="B281" t="str">
            <v>VAR_fin</v>
          </cell>
          <cell r="C281" t="str">
            <v>TELC</v>
          </cell>
          <cell r="H281">
            <v>0.81049220903668817</v>
          </cell>
          <cell r="I281">
            <v>0.83406545569057244</v>
          </cell>
          <cell r="J281">
            <v>0.87438264033834123</v>
          </cell>
        </row>
        <row r="282">
          <cell r="A282" t="str">
            <v>T-Plg-ELC-GSL_S3</v>
          </cell>
          <cell r="B282" t="str">
            <v>VAR_fout</v>
          </cell>
          <cell r="C282" t="str">
            <v>T-PEVmix-ELC_GSL_S3</v>
          </cell>
          <cell r="H282">
            <v>3.8029972131638061</v>
          </cell>
          <cell r="I282">
            <v>3.5093118454930612</v>
          </cell>
          <cell r="J282">
            <v>1.0667132158313872</v>
          </cell>
        </row>
        <row r="283">
          <cell r="A283" t="str">
            <v>T-Plg-ELC-GSL_S3</v>
          </cell>
          <cell r="B283" t="str">
            <v>VAR_fin</v>
          </cell>
          <cell r="C283" t="str">
            <v>T-ELC-car-PlgSTGOut_S3</v>
          </cell>
          <cell r="H283">
            <v>2.5860273751289848</v>
          </cell>
          <cell r="I283">
            <v>2.2787243803729913</v>
          </cell>
          <cell r="J283">
            <v>0.62851603257420241</v>
          </cell>
        </row>
        <row r="284">
          <cell r="A284" t="str">
            <v>T-Plg-ELC-DSL_S2</v>
          </cell>
          <cell r="B284" t="str">
            <v>VAR_fout</v>
          </cell>
          <cell r="C284" t="str">
            <v>T-PEVmix-ELC_DSL_S2</v>
          </cell>
          <cell r="H284">
            <v>5.6342472805332756E-4</v>
          </cell>
          <cell r="I284">
            <v>4.0719496364848533E-4</v>
          </cell>
          <cell r="J284">
            <v>4.5281621390034814E-5</v>
          </cell>
        </row>
        <row r="285">
          <cell r="A285" t="str">
            <v>T-Plg-ELC-DSL_S2</v>
          </cell>
          <cell r="B285" t="str">
            <v>VAR_fin</v>
          </cell>
          <cell r="C285" t="str">
            <v>T-ELC-car-PlgSTGOut_S2</v>
          </cell>
          <cell r="H285">
            <v>3.6208569854683989E-4</v>
          </cell>
          <cell r="I285">
            <v>2.5355668855368401E-4</v>
          </cell>
          <cell r="J285">
            <v>2.668956071051932E-5</v>
          </cell>
        </row>
        <row r="286">
          <cell r="A286" t="str">
            <v>T_TW-ICEGSLEXT</v>
          </cell>
          <cell r="B286" t="str">
            <v>VAR_fout</v>
          </cell>
          <cell r="C286" t="str">
            <v>CO2_T</v>
          </cell>
        </row>
        <row r="287">
          <cell r="A287" t="str">
            <v>T_TW-ICEGSLEXT</v>
          </cell>
          <cell r="B287" t="str">
            <v>VAR_fout</v>
          </cell>
          <cell r="C287" t="str">
            <v>TPTWL</v>
          </cell>
        </row>
        <row r="288">
          <cell r="A288" t="str">
            <v>T_TW-ICEGSLEXT</v>
          </cell>
          <cell r="B288" t="str">
            <v>VAR_fin</v>
          </cell>
          <cell r="C288" t="str">
            <v>TGSL</v>
          </cell>
        </row>
        <row r="289">
          <cell r="A289" t="str">
            <v>T_TW-ICEGSLEXT</v>
          </cell>
          <cell r="B289" t="str">
            <v>VAR_cap</v>
          </cell>
          <cell r="C289" t="str">
            <v>-</v>
          </cell>
        </row>
        <row r="290">
          <cell r="A290" t="str">
            <v>T-Plg-ELC-GSL_S4</v>
          </cell>
          <cell r="B290" t="str">
            <v>VAR_fout</v>
          </cell>
          <cell r="C290" t="str">
            <v>T-PEVmix-ELC_GSL_S4</v>
          </cell>
          <cell r="H290">
            <v>7.6263961424344381E-3</v>
          </cell>
          <cell r="I290">
            <v>7.8855460799044457E-4</v>
          </cell>
          <cell r="J290">
            <v>4.6525568719016568E-5</v>
          </cell>
        </row>
        <row r="291">
          <cell r="A291" t="str">
            <v>T-Plg-ELC-GSL_S4</v>
          </cell>
          <cell r="B291" t="str">
            <v>VAR_fin</v>
          </cell>
          <cell r="C291" t="str">
            <v>T-ELC-car-PlgSTGOut_S4</v>
          </cell>
          <cell r="H291">
            <v>5.4559586575957083E-3</v>
          </cell>
          <cell r="I291">
            <v>5.4919078652263225E-4</v>
          </cell>
          <cell r="J291">
            <v>3.0946848392616337E-5</v>
          </cell>
        </row>
        <row r="292">
          <cell r="A292" t="str">
            <v>T-Plg-ELC-DSL_S3</v>
          </cell>
          <cell r="B292" t="str">
            <v>VAR_fout</v>
          </cell>
          <cell r="C292" t="str">
            <v>T-PEVmix-ELC_DSL_S3</v>
          </cell>
          <cell r="H292">
            <v>2.7142363377047216</v>
          </cell>
          <cell r="I292">
            <v>2.4901629352491743</v>
          </cell>
          <cell r="J292">
            <v>0.74444796118139722</v>
          </cell>
        </row>
        <row r="293">
          <cell r="A293" t="str">
            <v>T-Plg-ELC-DSL_S3</v>
          </cell>
          <cell r="B293" t="str">
            <v>VAR_fin</v>
          </cell>
          <cell r="C293" t="str">
            <v>T-ELC-car-PlgSTGOut_S3</v>
          </cell>
          <cell r="H293">
            <v>1.8456793510078362</v>
          </cell>
          <cell r="I293">
            <v>1.6169604553844972</v>
          </cell>
          <cell r="J293">
            <v>0.43864480169284287</v>
          </cell>
        </row>
        <row r="294">
          <cell r="A294" t="str">
            <v>T-Plg-ELC-DSL_S4</v>
          </cell>
          <cell r="B294" t="str">
            <v>VAR_fout</v>
          </cell>
          <cell r="C294" t="str">
            <v>T-PEVmix-ELC_DSL_S4</v>
          </cell>
          <cell r="H294">
            <v>3.8343560028758841E-2</v>
          </cell>
          <cell r="I294">
            <v>1.7497179503759015E-2</v>
          </cell>
          <cell r="J294">
            <v>5.1487310515467373E-5</v>
          </cell>
        </row>
        <row r="295">
          <cell r="A295" t="str">
            <v>T-Plg-ELC-DSL_S4</v>
          </cell>
          <cell r="B295" t="str">
            <v>VAR_fin</v>
          </cell>
          <cell r="C295" t="str">
            <v>T-ELC-car-PlgSTGOut_S4</v>
          </cell>
          <cell r="H295">
            <v>2.7375763092868381E-2</v>
          </cell>
          <cell r="I295">
            <v>1.1971549921629014E-2</v>
          </cell>
          <cell r="J295">
            <v>3.4209139942861631E-5</v>
          </cell>
        </row>
        <row r="296">
          <cell r="A296" t="str">
            <v>TFLGV-ICENGA</v>
          </cell>
          <cell r="B296" t="str">
            <v>VAR_fout</v>
          </cell>
          <cell r="C296" t="str">
            <v>CO2_T</v>
          </cell>
          <cell r="H296">
            <v>0.18165268935170278</v>
          </cell>
          <cell r="I296">
            <v>3.1808180882773797E-2</v>
          </cell>
        </row>
        <row r="297">
          <cell r="A297" t="str">
            <v>TFLGV-ICENGA</v>
          </cell>
          <cell r="B297" t="str">
            <v>VAR_fout</v>
          </cell>
          <cell r="C297" t="str">
            <v>TFLGV</v>
          </cell>
          <cell r="H297">
            <v>1.0325117200834409E-3</v>
          </cell>
          <cell r="I297">
            <v>1.807973208280505E-4</v>
          </cell>
        </row>
        <row r="298">
          <cell r="A298" t="str">
            <v>TFLGV-ICENGA</v>
          </cell>
          <cell r="B298" t="str">
            <v>VAR_fin</v>
          </cell>
          <cell r="C298" t="str">
            <v>TNGA</v>
          </cell>
          <cell r="H298">
            <v>3.2207923643918913E-3</v>
          </cell>
          <cell r="I298">
            <v>5.6397483834705298E-4</v>
          </cell>
        </row>
        <row r="299">
          <cell r="A299" t="str">
            <v>TFLGV-ICENGA</v>
          </cell>
          <cell r="B299" t="str">
            <v>VAR_ncap</v>
          </cell>
          <cell r="C299" t="str">
            <v>-</v>
          </cell>
        </row>
        <row r="300">
          <cell r="A300" t="str">
            <v>TFLGV-ICENGA</v>
          </cell>
          <cell r="B300" t="str">
            <v>VAR_cap</v>
          </cell>
          <cell r="C300" t="str">
            <v>-</v>
          </cell>
          <cell r="H300">
            <v>7.3605603078218506E-5</v>
          </cell>
          <cell r="I300">
            <v>1.2927904006211501E-5</v>
          </cell>
        </row>
        <row r="301">
          <cell r="A301" t="str">
            <v>TFLGV-BEVELC</v>
          </cell>
          <cell r="B301" t="str">
            <v>VAR_fout</v>
          </cell>
          <cell r="C301" t="str">
            <v>TFLGV</v>
          </cell>
          <cell r="H301">
            <v>3.5598617116838449</v>
          </cell>
          <cell r="I301">
            <v>4.8187885364808158</v>
          </cell>
          <cell r="J301">
            <v>5.5047376964223735</v>
          </cell>
        </row>
        <row r="302">
          <cell r="A302" t="str">
            <v>TFLGV-BEVELC</v>
          </cell>
          <cell r="B302" t="str">
            <v>VAR_fin</v>
          </cell>
          <cell r="C302" t="str">
            <v>T-ELC-LGV_BatSTGout</v>
          </cell>
          <cell r="H302">
            <v>5.2246601031017601</v>
          </cell>
          <cell r="I302">
            <v>7.0723343351241432</v>
          </cell>
          <cell r="J302">
            <v>8.0790732196544681</v>
          </cell>
        </row>
        <row r="303">
          <cell r="A303" t="str">
            <v>TFLGV-BEVELC</v>
          </cell>
          <cell r="B303" t="str">
            <v>VAR_ncap</v>
          </cell>
          <cell r="C303" t="str">
            <v>-</v>
          </cell>
          <cell r="H303">
            <v>0.244730236175354</v>
          </cell>
          <cell r="I303">
            <v>0.198825214503487</v>
          </cell>
          <cell r="J303">
            <v>0.37113453007198099</v>
          </cell>
        </row>
        <row r="304">
          <cell r="A304" t="str">
            <v>TFLGV-BEVELC</v>
          </cell>
          <cell r="B304" t="str">
            <v>VAR_cap</v>
          </cell>
          <cell r="C304" t="str">
            <v>-</v>
          </cell>
          <cell r="H304">
            <v>0.31399901039731198</v>
          </cell>
          <cell r="I304">
            <v>0.45566073582481198</v>
          </cell>
          <cell r="J304">
            <v>0.51379380233974103</v>
          </cell>
        </row>
        <row r="305">
          <cell r="A305" t="str">
            <v>T_B_c-BEVELC-S1</v>
          </cell>
          <cell r="B305" t="str">
            <v>VAR_fout</v>
          </cell>
          <cell r="C305" t="str">
            <v>TPBSc</v>
          </cell>
          <cell r="H305">
            <v>6.4587706986962062E-2</v>
          </cell>
          <cell r="I305">
            <v>6.4456353140375539E-2</v>
          </cell>
          <cell r="J305">
            <v>6.2972850439214037E-2</v>
          </cell>
        </row>
        <row r="306">
          <cell r="A306" t="str">
            <v>T_B_c-BEVELC-S1</v>
          </cell>
          <cell r="B306" t="str">
            <v>VAR_fin</v>
          </cell>
          <cell r="C306" t="str">
            <v>T-ELC-Bus_c_BatSTGout_S1</v>
          </cell>
          <cell r="H306">
            <v>0.13713203103321744</v>
          </cell>
          <cell r="I306">
            <v>0.13680785273915369</v>
          </cell>
          <cell r="J306">
            <v>0.11926899591901199</v>
          </cell>
        </row>
        <row r="307">
          <cell r="A307" t="str">
            <v>T_B_c-BEVELC-S1</v>
          </cell>
          <cell r="B307" t="str">
            <v>VAR_ncap</v>
          </cell>
          <cell r="C307" t="str">
            <v>-</v>
          </cell>
          <cell r="H307">
            <v>1.3975859362695101E-3</v>
          </cell>
          <cell r="I307">
            <v>2.9423464255142298E-6</v>
          </cell>
          <cell r="J307">
            <v>1.1216912591729699E-3</v>
          </cell>
        </row>
        <row r="308">
          <cell r="A308" t="str">
            <v>T_B_c-BEVELC-S1</v>
          </cell>
          <cell r="B308" t="str">
            <v>VAR_cap</v>
          </cell>
          <cell r="C308" t="str">
            <v>-</v>
          </cell>
          <cell r="H308">
            <v>1.403917653580312E-3</v>
          </cell>
          <cell r="I308">
            <v>1.4007192678255973E-3</v>
          </cell>
          <cell r="J308">
            <v>1.3684273115710801E-3</v>
          </cell>
        </row>
        <row r="309">
          <cell r="A309" t="str">
            <v>T_B_c-BEVELC-S2</v>
          </cell>
          <cell r="B309" t="str">
            <v>VAR_fout</v>
          </cell>
          <cell r="C309" t="str">
            <v>TPBSc</v>
          </cell>
          <cell r="H309">
            <v>3.1195999138769914E-2</v>
          </cell>
          <cell r="I309">
            <v>5.2762142820372525E-2</v>
          </cell>
          <cell r="J309">
            <v>5.5954511731446083E-2</v>
          </cell>
        </row>
        <row r="310">
          <cell r="A310" t="str">
            <v>T_B_c-BEVELC-S2</v>
          </cell>
          <cell r="B310" t="str">
            <v>VAR_fin</v>
          </cell>
          <cell r="C310" t="str">
            <v>T-ELC-Bus_c_BatSTGout_S2</v>
          </cell>
          <cell r="H310">
            <v>9.1398225292050606E-2</v>
          </cell>
          <cell r="I310">
            <v>0.15155400282462722</v>
          </cell>
          <cell r="J310">
            <v>0.14729576244988388</v>
          </cell>
        </row>
        <row r="311">
          <cell r="A311" t="str">
            <v>T_B_c-BEVELC-S2</v>
          </cell>
          <cell r="B311" t="str">
            <v>VAR_ncap</v>
          </cell>
          <cell r="C311" t="str">
            <v>-</v>
          </cell>
          <cell r="H311">
            <v>6.7619352124907901E-4</v>
          </cell>
          <cell r="I311">
            <v>4.7005969673706902E-4</v>
          </cell>
          <cell r="J311">
            <v>8.6149614693646604E-4</v>
          </cell>
        </row>
        <row r="312">
          <cell r="A312" t="str">
            <v>T_B_c-BEVELC-S2</v>
          </cell>
          <cell r="B312" t="str">
            <v>VAR_cap</v>
          </cell>
          <cell r="C312" t="str">
            <v>-</v>
          </cell>
          <cell r="H312">
            <v>6.7795234498909502E-4</v>
          </cell>
          <cell r="I312">
            <v>1.14654593428798E-3</v>
          </cell>
          <cell r="J312">
            <v>1.21589785038966E-3</v>
          </cell>
        </row>
        <row r="313">
          <cell r="A313" t="str">
            <v>T_B_c-BEVELC-S3</v>
          </cell>
          <cell r="B313" t="str">
            <v>VAR_fout</v>
          </cell>
          <cell r="C313" t="str">
            <v>TPBSc</v>
          </cell>
          <cell r="H313">
            <v>3.7200121523725191E-3</v>
          </cell>
          <cell r="I313">
            <v>3.8060719083411756E-3</v>
          </cell>
          <cell r="J313">
            <v>1.0009112673110216E-2</v>
          </cell>
        </row>
        <row r="314">
          <cell r="A314" t="str">
            <v>T_B_c-BEVELC-S3</v>
          </cell>
          <cell r="B314" t="str">
            <v>VAR_fin</v>
          </cell>
          <cell r="C314" t="str">
            <v>T-ELC-Bus_c_BatSTGout_S3</v>
          </cell>
          <cell r="H314">
            <v>1.6350033948938122E-2</v>
          </cell>
          <cell r="I314">
            <v>1.6706868707465974E-2</v>
          </cell>
          <cell r="J314">
            <v>3.8193591391449198E-2</v>
          </cell>
        </row>
        <row r="315">
          <cell r="A315" t="str">
            <v>T_B_c-BEVELC-S3</v>
          </cell>
          <cell r="B315" t="str">
            <v>VAR_ncap</v>
          </cell>
          <cell r="C315" t="str">
            <v>-</v>
          </cell>
          <cell r="H315">
            <v>8.0690622144311602E-5</v>
          </cell>
          <cell r="I315">
            <v>2.0270378440369301E-6</v>
          </cell>
          <cell r="J315">
            <v>2.16809237421045E-4</v>
          </cell>
        </row>
        <row r="316">
          <cell r="A316" t="str">
            <v>T_B_c-BEVELC-S3</v>
          </cell>
          <cell r="B316" t="str">
            <v>VAR_cap</v>
          </cell>
          <cell r="C316" t="str">
            <v>-</v>
          </cell>
          <cell r="H316">
            <v>8.0857859429412404E-5</v>
          </cell>
          <cell r="I316">
            <v>8.2717659988348601E-5</v>
          </cell>
          <cell r="J316">
            <v>2.1750354095058201E-4</v>
          </cell>
        </row>
        <row r="317">
          <cell r="A317" t="str">
            <v>T_B_c-BEVELC-S4</v>
          </cell>
          <cell r="B317" t="str">
            <v>VAR_fout</v>
          </cell>
          <cell r="C317" t="str">
            <v>TPBSc</v>
          </cell>
          <cell r="H317">
            <v>1.0273698408916957E-6</v>
          </cell>
          <cell r="I317">
            <v>1.3101289704061239E-6</v>
          </cell>
          <cell r="J317">
            <v>1.5165846820366581E-7</v>
          </cell>
        </row>
        <row r="318">
          <cell r="A318" t="str">
            <v>T_B_c-BEVELC-S4</v>
          </cell>
          <cell r="B318" t="str">
            <v>VAR_fin</v>
          </cell>
          <cell r="C318" t="str">
            <v>T-ELC-Bus_c_BatSTGout_S4</v>
          </cell>
          <cell r="H318">
            <v>6.7573979665569186E-6</v>
          </cell>
          <cell r="I318">
            <v>8.2978704433156911E-6</v>
          </cell>
          <cell r="J318">
            <v>8.6426828811633424E-7</v>
          </cell>
        </row>
        <row r="319">
          <cell r="A319" t="str">
            <v>T_B_c-BEVELC-S4</v>
          </cell>
          <cell r="B319" t="str">
            <v>VAR_ncap</v>
          </cell>
          <cell r="C319" t="str">
            <v>-</v>
          </cell>
          <cell r="H319">
            <v>4.46086994748058E-8</v>
          </cell>
          <cell r="I319">
            <v>4.67344227191311E-8</v>
          </cell>
          <cell r="J319">
            <v>1.8629930053116499E-8</v>
          </cell>
        </row>
        <row r="320">
          <cell r="A320" t="str">
            <v>T_B_c-BEVELC-S4</v>
          </cell>
          <cell r="B320" t="str">
            <v>VAR_cap</v>
          </cell>
          <cell r="C320" t="str">
            <v>-</v>
          </cell>
          <cell r="H320">
            <v>5.1808705896033697E-8</v>
          </cell>
          <cell r="I320">
            <v>7.7201553751972E-8</v>
          </cell>
          <cell r="J320">
            <v>2.6831290165460501E-8</v>
          </cell>
        </row>
        <row r="321">
          <cell r="A321" t="str">
            <v>T_C-BAT-ELC-S1</v>
          </cell>
          <cell r="B321" t="str">
            <v>VAR_fout</v>
          </cell>
          <cell r="C321" t="str">
            <v>TPCAR</v>
          </cell>
          <cell r="H321">
            <v>2.0248183266795974</v>
          </cell>
          <cell r="I321">
            <v>2.4867205790950195</v>
          </cell>
          <cell r="J321">
            <v>2.6549234230086109</v>
          </cell>
        </row>
        <row r="322">
          <cell r="A322" t="str">
            <v>T_C-BAT-ELC-S1</v>
          </cell>
          <cell r="B322" t="str">
            <v>VAR_fin</v>
          </cell>
          <cell r="C322" t="str">
            <v>T-ELC-car-BatSTGOut_S1</v>
          </cell>
          <cell r="H322">
            <v>1.0840004280261022</v>
          </cell>
          <cell r="I322">
            <v>1.2924334139283069</v>
          </cell>
          <cell r="J322">
            <v>1.2541266141899088</v>
          </cell>
        </row>
        <row r="323">
          <cell r="A323" t="str">
            <v>T_C-BAT-ELC-S1</v>
          </cell>
          <cell r="B323" t="str">
            <v>VAR_ncap</v>
          </cell>
          <cell r="C323" t="str">
            <v>-</v>
          </cell>
          <cell r="H323">
            <v>0.197469468182358</v>
          </cell>
          <cell r="I323">
            <v>0.159594498939375</v>
          </cell>
          <cell r="J323">
            <v>0.320435129970292</v>
          </cell>
        </row>
        <row r="324">
          <cell r="A324" t="str">
            <v>T_C-BAT-ELC-S1</v>
          </cell>
          <cell r="B324" t="str">
            <v>VAR_cap</v>
          </cell>
          <cell r="C324" t="str">
            <v>-</v>
          </cell>
          <cell r="H324">
            <v>0.30772121097050947</v>
          </cell>
          <cell r="I324">
            <v>0.37792025115730099</v>
          </cell>
          <cell r="J324">
            <v>0.40348346024190901</v>
          </cell>
        </row>
        <row r="325">
          <cell r="A325" t="str">
            <v>D-TNGA</v>
          </cell>
          <cell r="B325" t="str">
            <v>VAR_fout</v>
          </cell>
          <cell r="C325" t="str">
            <v>CO2</v>
          </cell>
          <cell r="H325">
            <v>5.2757388630570698</v>
          </cell>
          <cell r="I325">
            <v>3.5760404505605599</v>
          </cell>
          <cell r="J325">
            <v>0.21667184015171601</v>
          </cell>
        </row>
        <row r="326">
          <cell r="A326" t="str">
            <v>D-TNGA</v>
          </cell>
          <cell r="B326" t="str">
            <v>VAR_fout</v>
          </cell>
          <cell r="C326" t="str">
            <v>TNGA</v>
          </cell>
          <cell r="H326">
            <v>9.3307745064752992E-2</v>
          </cell>
          <cell r="I326">
            <v>7.492418598495687E-2</v>
          </cell>
          <cell r="J326">
            <v>3.8781145089416473E-3</v>
          </cell>
        </row>
        <row r="327">
          <cell r="A327" t="str">
            <v>D-TNGA</v>
          </cell>
          <cell r="B327" t="str">
            <v>VAR_fin</v>
          </cell>
          <cell r="C327" t="str">
            <v>NGA</v>
          </cell>
          <cell r="H327">
            <v>9.3541469203139715E-2</v>
          </cell>
          <cell r="I327">
            <v>6.3404972527669495E-2</v>
          </cell>
          <cell r="J327">
            <v>3.8416992934701415E-3</v>
          </cell>
        </row>
        <row r="328">
          <cell r="A328" t="str">
            <v>D-TNGA</v>
          </cell>
          <cell r="B328" t="str">
            <v>VAR_fin</v>
          </cell>
          <cell r="C328" t="str">
            <v>BNGA</v>
          </cell>
          <cell r="H328">
            <v>3.4857725750681152E-5</v>
          </cell>
          <cell r="I328">
            <v>1.1727174065016258E-2</v>
          </cell>
          <cell r="J328">
            <v>1.7704023652047076E-5</v>
          </cell>
        </row>
        <row r="329">
          <cell r="A329" t="str">
            <v>D-TNGA</v>
          </cell>
          <cell r="B329" t="str">
            <v>VAR_fin</v>
          </cell>
          <cell r="C329" t="str">
            <v>H2</v>
          </cell>
          <cell r="H329">
            <v>2.9567286081956122E-5</v>
          </cell>
          <cell r="I329">
            <v>3.4782127909468126E-5</v>
          </cell>
          <cell r="J329">
            <v>3.1330612028709647E-5</v>
          </cell>
        </row>
        <row r="330">
          <cell r="A330" t="str">
            <v>D-TNGA</v>
          </cell>
          <cell r="B330" t="str">
            <v>VAR_ncap</v>
          </cell>
          <cell r="C330" t="str">
            <v>-</v>
          </cell>
          <cell r="H330">
            <v>1.0493740198307399E-8</v>
          </cell>
          <cell r="I330">
            <v>1.31561485815768E-8</v>
          </cell>
          <cell r="J330">
            <v>2.2542128063379001E-8</v>
          </cell>
        </row>
        <row r="331">
          <cell r="A331" t="str">
            <v>D-TNGA</v>
          </cell>
          <cell r="B331" t="str">
            <v>VAR_cap</v>
          </cell>
          <cell r="C331" t="str">
            <v>-</v>
          </cell>
          <cell r="H331">
            <v>0.95961770357538423</v>
          </cell>
          <cell r="I331">
            <v>0.95961771673153284</v>
          </cell>
          <cell r="J331">
            <v>0.48125339562760483</v>
          </cell>
        </row>
        <row r="332">
          <cell r="A332" t="str">
            <v>T_C-BAT-ELC-S2</v>
          </cell>
          <cell r="B332" t="str">
            <v>VAR_fout</v>
          </cell>
          <cell r="C332" t="str">
            <v>TPCAR</v>
          </cell>
          <cell r="H332">
            <v>17.226669975407479</v>
          </cell>
          <cell r="I332">
            <v>19.51003887419872</v>
          </cell>
          <cell r="J332">
            <v>19.576097700739819</v>
          </cell>
        </row>
        <row r="333">
          <cell r="A333" t="str">
            <v>T_C-BAT-ELC-S2</v>
          </cell>
          <cell r="B333" t="str">
            <v>VAR_fin</v>
          </cell>
          <cell r="C333" t="str">
            <v>T-ELC-car-BatSTGOut_S2</v>
          </cell>
          <cell r="H333">
            <v>11.326758536710827</v>
          </cell>
          <cell r="I333">
            <v>12.501406852226086</v>
          </cell>
          <cell r="J333">
            <v>11.399781866000525</v>
          </cell>
        </row>
        <row r="334">
          <cell r="A334" t="str">
            <v>T_C-BAT-ELC-S2</v>
          </cell>
          <cell r="B334" t="str">
            <v>VAR_ncap</v>
          </cell>
          <cell r="C334" t="str">
            <v>-</v>
          </cell>
          <cell r="H334">
            <v>1.23459090178229</v>
          </cell>
          <cell r="I334">
            <v>0.81026291506109904</v>
          </cell>
          <cell r="J334">
            <v>1.57810941620694</v>
          </cell>
        </row>
        <row r="335">
          <cell r="A335" t="str">
            <v>T_C-BAT-ELC-S2</v>
          </cell>
          <cell r="B335" t="str">
            <v>VAR_cap</v>
          </cell>
          <cell r="C335" t="str">
            <v>-</v>
          </cell>
          <cell r="H335">
            <v>1.6727012752414492</v>
          </cell>
          <cell r="I335">
            <v>2.0578430214968555</v>
          </cell>
          <cell r="J335">
            <v>2.0648137871587</v>
          </cell>
        </row>
        <row r="336">
          <cell r="A336" t="str">
            <v>TFLGV-BeVELCExt</v>
          </cell>
          <cell r="B336" t="str">
            <v>VAR_fout</v>
          </cell>
          <cell r="C336" t="str">
            <v>TFLGV</v>
          </cell>
        </row>
        <row r="337">
          <cell r="A337" t="str">
            <v>TFLGV-BeVELCExt</v>
          </cell>
          <cell r="B337" t="str">
            <v>VAR_fin</v>
          </cell>
          <cell r="C337" t="str">
            <v>TELC</v>
          </cell>
        </row>
        <row r="338">
          <cell r="A338" t="str">
            <v>TFLGV-BeVELCExt</v>
          </cell>
          <cell r="B338" t="str">
            <v>VAR_cap</v>
          </cell>
          <cell r="C338" t="str">
            <v>-</v>
          </cell>
        </row>
        <row r="339">
          <cell r="A339" t="str">
            <v>T_C-BAT-ELC-S3</v>
          </cell>
          <cell r="B339" t="str">
            <v>VAR_fout</v>
          </cell>
          <cell r="C339" t="str">
            <v>TPCAR</v>
          </cell>
          <cell r="H339">
            <v>1.8516770770869511</v>
          </cell>
          <cell r="I339">
            <v>7.5477470965165399</v>
          </cell>
          <cell r="J339">
            <v>15.786732170585898</v>
          </cell>
        </row>
        <row r="340">
          <cell r="A340" t="str">
            <v>T_C-BAT-ELC-S3</v>
          </cell>
          <cell r="B340" t="str">
            <v>VAR_fin</v>
          </cell>
          <cell r="C340" t="str">
            <v>T-ELC-car-BatSTGOut_S3</v>
          </cell>
          <cell r="H340">
            <v>1.3285395819788244</v>
          </cell>
          <cell r="I340">
            <v>5.1440104419535109</v>
          </cell>
          <cell r="J340">
            <v>9.8539706267927016</v>
          </cell>
        </row>
        <row r="341">
          <cell r="A341" t="str">
            <v>T_C-BAT-ELC-S3</v>
          </cell>
          <cell r="B341" t="str">
            <v>VAR_ncap</v>
          </cell>
          <cell r="C341" t="str">
            <v>-</v>
          </cell>
          <cell r="H341">
            <v>0.10323846904704399</v>
          </cell>
          <cell r="I341">
            <v>0.44576929478074601</v>
          </cell>
          <cell r="J341">
            <v>0.97748419288346799</v>
          </cell>
        </row>
        <row r="342">
          <cell r="A342" t="str">
            <v>T_C-BAT-ELC-S3</v>
          </cell>
          <cell r="B342" t="str">
            <v>VAR_cap</v>
          </cell>
          <cell r="C342" t="str">
            <v>-</v>
          </cell>
          <cell r="H342">
            <v>0.12731884150564865</v>
          </cell>
          <cell r="I342">
            <v>0.51896224385189771</v>
          </cell>
          <cell r="J342">
            <v>1.08544860593413</v>
          </cell>
        </row>
        <row r="343">
          <cell r="A343" t="str">
            <v>T_C-BAT-ELC-S4</v>
          </cell>
          <cell r="B343" t="str">
            <v>VAR_fout</v>
          </cell>
          <cell r="C343" t="str">
            <v>TPCAR</v>
          </cell>
          <cell r="H343">
            <v>22.643196935341376</v>
          </cell>
          <cell r="I343">
            <v>24.28971187870955</v>
          </cell>
          <cell r="J343">
            <v>25.572104889799782</v>
          </cell>
        </row>
        <row r="344">
          <cell r="A344" t="str">
            <v>T_C-BAT-ELC-S4</v>
          </cell>
          <cell r="B344" t="str">
            <v>VAR_fin</v>
          </cell>
          <cell r="C344" t="str">
            <v>T-ELC-car-BatSTGOut_S4</v>
          </cell>
          <cell r="H344">
            <v>17.021229388228672</v>
          </cell>
          <cell r="I344">
            <v>17.604970425987627</v>
          </cell>
          <cell r="J344">
            <v>16.799117890990146</v>
          </cell>
        </row>
        <row r="345">
          <cell r="A345" t="str">
            <v>T_C-BAT-ELC-S4</v>
          </cell>
          <cell r="B345" t="str">
            <v>VAR_ncap</v>
          </cell>
          <cell r="C345" t="str">
            <v>-</v>
          </cell>
          <cell r="H345">
            <v>1.0246510305940599</v>
          </cell>
          <cell r="I345">
            <v>0.91908235877315303</v>
          </cell>
          <cell r="J345">
            <v>2.0823462924281002</v>
          </cell>
        </row>
        <row r="346">
          <cell r="A346" t="str">
            <v>T_C-BAT-ELC-S4</v>
          </cell>
          <cell r="B346" t="str">
            <v>VAR_cap</v>
          </cell>
          <cell r="C346" t="str">
            <v>-</v>
          </cell>
          <cell r="H346">
            <v>1.7829395253994524</v>
          </cell>
          <cell r="I346">
            <v>2.0782093821363237</v>
          </cell>
          <cell r="J346">
            <v>2.4977849658779601</v>
          </cell>
        </row>
        <row r="347">
          <cell r="A347" t="str">
            <v>T_B_c-ICENGA-S1</v>
          </cell>
          <cell r="B347" t="str">
            <v>VAR_fout</v>
          </cell>
          <cell r="C347" t="str">
            <v>CO2_T</v>
          </cell>
          <cell r="H347">
            <v>1.5900287096917501E-2</v>
          </cell>
          <cell r="I347">
            <v>6.0649780351605146E-3</v>
          </cell>
          <cell r="J347">
            <v>1.560981367069326E-3</v>
          </cell>
        </row>
        <row r="348">
          <cell r="A348" t="str">
            <v>T_B_c-ICENGA-S1</v>
          </cell>
          <cell r="B348" t="str">
            <v>VAR_fout</v>
          </cell>
          <cell r="C348" t="str">
            <v>TPBSc</v>
          </cell>
          <cell r="H348">
            <v>4.0535380379325759E-5</v>
          </cell>
          <cell r="I348">
            <v>1.6089479902731315E-5</v>
          </cell>
          <cell r="J348">
            <v>4.2057053531931249E-6</v>
          </cell>
        </row>
        <row r="349">
          <cell r="A349" t="str">
            <v>T_B_c-ICENGA-S1</v>
          </cell>
          <cell r="B349" t="str">
            <v>VAR_fin</v>
          </cell>
          <cell r="C349" t="str">
            <v>TNGA</v>
          </cell>
          <cell r="H349">
            <v>2.8191998398789978E-4</v>
          </cell>
          <cell r="I349">
            <v>1.0753507154539918E-4</v>
          </cell>
          <cell r="J349">
            <v>2.7676974593427703E-5</v>
          </cell>
        </row>
        <row r="350">
          <cell r="A350" t="str">
            <v>T_B_c-ICENGA-S1</v>
          </cell>
          <cell r="B350" t="str">
            <v>VAR_ncap</v>
          </cell>
          <cell r="C350" t="str">
            <v>-</v>
          </cell>
          <cell r="H350">
            <v>8.8198149745953898E-7</v>
          </cell>
          <cell r="I350">
            <v>2.24783681327363E-7</v>
          </cell>
        </row>
        <row r="351">
          <cell r="A351" t="str">
            <v>T_B_c-ICENGA-S1</v>
          </cell>
          <cell r="B351" t="str">
            <v>VAR_cap</v>
          </cell>
          <cell r="C351" t="str">
            <v>-</v>
          </cell>
          <cell r="H351">
            <v>1.0521226412195161E-6</v>
          </cell>
          <cell r="I351">
            <v>4.0506682320044005E-7</v>
          </cell>
          <cell r="J351">
            <v>1.2271743351909099E-7</v>
          </cell>
        </row>
        <row r="352">
          <cell r="A352" t="str">
            <v>TFLGV-FCLH2O</v>
          </cell>
          <cell r="B352" t="str">
            <v>VAR_fout</v>
          </cell>
          <cell r="C352" t="str">
            <v>TFLGV</v>
          </cell>
        </row>
        <row r="353">
          <cell r="A353" t="str">
            <v>TFLGV-FCLH2O</v>
          </cell>
          <cell r="B353" t="str">
            <v>VAR_fin</v>
          </cell>
          <cell r="C353" t="str">
            <v>TH2O</v>
          </cell>
        </row>
        <row r="354">
          <cell r="A354" t="str">
            <v>TFLGV-FCLH2O</v>
          </cell>
          <cell r="B354" t="str">
            <v>VAR_ncap</v>
          </cell>
          <cell r="C354" t="str">
            <v>-</v>
          </cell>
        </row>
        <row r="355">
          <cell r="A355" t="str">
            <v>TFLGV-FCLH2O</v>
          </cell>
          <cell r="B355" t="str">
            <v>VAR_cap</v>
          </cell>
          <cell r="C355" t="str">
            <v>-</v>
          </cell>
          <cell r="H355">
            <v>1.8286739769224067E-9</v>
          </cell>
        </row>
        <row r="356">
          <cell r="A356" t="str">
            <v>T_B_c-ICENGA-S2</v>
          </cell>
          <cell r="B356" t="str">
            <v>VAR_fout</v>
          </cell>
          <cell r="C356" t="str">
            <v>CO2_T</v>
          </cell>
          <cell r="H356">
            <v>1.205618487563823E-2</v>
          </cell>
          <cell r="I356">
            <v>1.2919572613932968E-2</v>
          </cell>
          <cell r="J356">
            <v>3.8185159441333359E-3</v>
          </cell>
        </row>
        <row r="357">
          <cell r="A357" t="str">
            <v>T_B_c-ICENGA-S2</v>
          </cell>
          <cell r="B357" t="str">
            <v>VAR_fout</v>
          </cell>
          <cell r="C357" t="str">
            <v>TPBSc</v>
          </cell>
          <cell r="H357">
            <v>2.0703058307387051E-5</v>
          </cell>
          <cell r="I357">
            <v>2.3973073707565038E-5</v>
          </cell>
          <cell r="J357">
            <v>7.1910851649314716E-6</v>
          </cell>
        </row>
        <row r="358">
          <cell r="A358" t="str">
            <v>T_B_c-ICENGA-S2</v>
          </cell>
          <cell r="B358" t="str">
            <v>VAR_fin</v>
          </cell>
          <cell r="C358" t="str">
            <v>TNGA</v>
          </cell>
          <cell r="H358">
            <v>2.1376214318507509E-4</v>
          </cell>
          <cell r="I358">
            <v>2.2907043641725132E-4</v>
          </cell>
          <cell r="J358">
            <v>6.7704183406619442E-5</v>
          </cell>
        </row>
        <row r="359">
          <cell r="A359" t="str">
            <v>T_B_c-ICENGA-S2</v>
          </cell>
          <cell r="B359" t="str">
            <v>VAR_ncap</v>
          </cell>
          <cell r="C359" t="str">
            <v>-</v>
          </cell>
          <cell r="H359">
            <v>2.1356227895504701E-7</v>
          </cell>
          <cell r="I359">
            <v>3.1855061086279501E-7</v>
          </cell>
        </row>
        <row r="360">
          <cell r="A360" t="str">
            <v>T_B_c-ICENGA-S2</v>
          </cell>
          <cell r="B360" t="str">
            <v>VAR_cap</v>
          </cell>
          <cell r="C360" t="str">
            <v>-</v>
          </cell>
          <cell r="H360">
            <v>5.0415421079404902E-7</v>
          </cell>
          <cell r="I360">
            <v>5.5974215799059905E-7</v>
          </cell>
          <cell r="J360">
            <v>1.8358881990334531E-7</v>
          </cell>
        </row>
        <row r="361">
          <cell r="A361" t="str">
            <v>T_B_u-ICEDSL-S1</v>
          </cell>
          <cell r="B361" t="str">
            <v>VAR_fout</v>
          </cell>
          <cell r="C361" t="str">
            <v>CO2_T</v>
          </cell>
          <cell r="H361">
            <v>5.1182113830868508</v>
          </cell>
          <cell r="I361">
            <v>22.831866660010359</v>
          </cell>
          <cell r="J361">
            <v>9.0947015941786287</v>
          </cell>
        </row>
        <row r="362">
          <cell r="A362" t="str">
            <v>T_B_u-ICEDSL-S1</v>
          </cell>
          <cell r="B362" t="str">
            <v>VAR_fout</v>
          </cell>
          <cell r="C362" t="str">
            <v>TPBSu</v>
          </cell>
          <cell r="H362">
            <v>1.0252107224226047E-2</v>
          </cell>
          <cell r="I362">
            <v>5.0700544286969802E-2</v>
          </cell>
          <cell r="J362">
            <v>2.0196239239956181E-2</v>
          </cell>
        </row>
        <row r="363">
          <cell r="A363" t="str">
            <v>T_B_u-ICEDSL-S1</v>
          </cell>
          <cell r="B363" t="str">
            <v>VAR_fin</v>
          </cell>
          <cell r="C363" t="str">
            <v>TDSL</v>
          </cell>
          <cell r="H363">
            <v>6.9825530465032259E-2</v>
          </cell>
          <cell r="I363">
            <v>0.31148522046398908</v>
          </cell>
          <cell r="J363">
            <v>0.12407505585509718</v>
          </cell>
        </row>
        <row r="364">
          <cell r="A364" t="str">
            <v>T_B_u-ICEDSL-S1</v>
          </cell>
          <cell r="B364" t="str">
            <v>VAR_ncap</v>
          </cell>
          <cell r="C364" t="str">
            <v>-</v>
          </cell>
          <cell r="H364">
            <v>4.02588318238407E-7</v>
          </cell>
          <cell r="I364">
            <v>1.0845991157763799E-3</v>
          </cell>
        </row>
        <row r="365">
          <cell r="A365" t="str">
            <v>T_B_u-ICEDSL-S1</v>
          </cell>
          <cell r="B365" t="str">
            <v>VAR_cap</v>
          </cell>
          <cell r="C365" t="str">
            <v>-</v>
          </cell>
          <cell r="H365">
            <v>2.7565441728800901E-4</v>
          </cell>
          <cell r="I365">
            <v>1.085145605997978E-3</v>
          </cell>
          <cell r="J365">
            <v>5.4400284374076901E-4</v>
          </cell>
        </row>
        <row r="366">
          <cell r="A366" t="str">
            <v>T_B_c-ICENGA-S3</v>
          </cell>
          <cell r="B366" t="str">
            <v>VAR_fout</v>
          </cell>
          <cell r="C366" t="str">
            <v>CO2_T</v>
          </cell>
          <cell r="H366">
            <v>0.21389445376586624</v>
          </cell>
          <cell r="I366">
            <v>0.2258067282057844</v>
          </cell>
          <cell r="J366">
            <v>5.9883951568325197E-3</v>
          </cell>
        </row>
        <row r="367">
          <cell r="A367" t="str">
            <v>T_B_c-ICENGA-S3</v>
          </cell>
          <cell r="B367" t="str">
            <v>VAR_fout</v>
          </cell>
          <cell r="C367" t="str">
            <v>TPBSc</v>
          </cell>
          <cell r="H367">
            <v>2.5596471691141464E-4</v>
          </cell>
          <cell r="I367">
            <v>2.7177852194099181E-4</v>
          </cell>
          <cell r="J367">
            <v>7.5341298939875747E-6</v>
          </cell>
        </row>
        <row r="368">
          <cell r="A368" t="str">
            <v>T_B_c-ICENGA-S3</v>
          </cell>
          <cell r="B368" t="str">
            <v>VAR_fin</v>
          </cell>
          <cell r="C368" t="str">
            <v>TNGA</v>
          </cell>
          <cell r="H368">
            <v>3.7924548540047248E-3</v>
          </cell>
          <cell r="I368">
            <v>4.0036653937195873E-3</v>
          </cell>
          <cell r="J368">
            <v>1.0617721909277528E-4</v>
          </cell>
        </row>
        <row r="369">
          <cell r="A369" t="str">
            <v>T_B_c-ICENGA-S3</v>
          </cell>
          <cell r="B369" t="str">
            <v>VAR_ncap</v>
          </cell>
          <cell r="C369" t="str">
            <v>-</v>
          </cell>
          <cell r="H369">
            <v>5.3962730973617699E-6</v>
          </cell>
          <cell r="I369">
            <v>5.2054672425464596E-7</v>
          </cell>
        </row>
        <row r="370">
          <cell r="A370" t="str">
            <v>T_B_c-ICENGA-S3</v>
          </cell>
          <cell r="B370" t="str">
            <v>VAR_cap</v>
          </cell>
          <cell r="C370" t="str">
            <v>-</v>
          </cell>
          <cell r="H370">
            <v>5.5805736073382898E-6</v>
          </cell>
          <cell r="I370">
            <v>5.9168198216164101E-6</v>
          </cell>
          <cell r="J370">
            <v>1.7269245519184963E-7</v>
          </cell>
        </row>
        <row r="371">
          <cell r="A371" t="str">
            <v>T_B_u-ICEDSL-S2</v>
          </cell>
          <cell r="B371" t="str">
            <v>VAR_fout</v>
          </cell>
          <cell r="C371" t="str">
            <v>CO2_T</v>
          </cell>
          <cell r="H371">
            <v>3.1233673956045997</v>
          </cell>
          <cell r="I371">
            <v>3.8964317284956154E-2</v>
          </cell>
          <cell r="J371">
            <v>8.8866621100423156E-3</v>
          </cell>
        </row>
        <row r="372">
          <cell r="A372" t="str">
            <v>T_B_u-ICEDSL-S2</v>
          </cell>
          <cell r="B372" t="str">
            <v>VAR_fout</v>
          </cell>
          <cell r="C372" t="str">
            <v>TPBSu</v>
          </cell>
          <cell r="H372">
            <v>4.3812883237982743E-3</v>
          </cell>
          <cell r="I372">
            <v>5.7675011893622933E-5</v>
          </cell>
          <cell r="J372">
            <v>1.3691964128905879E-5</v>
          </cell>
        </row>
        <row r="373">
          <cell r="A373" t="str">
            <v>T_B_u-ICEDSL-S2</v>
          </cell>
          <cell r="B373" t="str">
            <v>VAR_fin</v>
          </cell>
          <cell r="C373" t="str">
            <v>TDSL</v>
          </cell>
          <cell r="H373">
            <v>4.261074209556065E-2</v>
          </cell>
          <cell r="I373">
            <v>5.3157322353282683E-4</v>
          </cell>
          <cell r="J373">
            <v>1.2123686371135488E-4</v>
          </cell>
        </row>
        <row r="374">
          <cell r="A374" t="str">
            <v>T_B_u-ICEDSL-S2</v>
          </cell>
          <cell r="B374" t="str">
            <v>VAR_ncap</v>
          </cell>
          <cell r="C374" t="str">
            <v>-</v>
          </cell>
          <cell r="H374">
            <v>2.3598462027880399E-7</v>
          </cell>
          <cell r="I374">
            <v>5.0549608829174204E-7</v>
          </cell>
        </row>
        <row r="375">
          <cell r="A375" t="str">
            <v>T_B_u-ICEDSL-S2</v>
          </cell>
          <cell r="B375" t="str">
            <v>VAR_cap</v>
          </cell>
          <cell r="C375" t="str">
            <v>-</v>
          </cell>
          <cell r="H375">
            <v>8.2737770426752984E-5</v>
          </cell>
          <cell r="I375">
            <v>1.1372391181975998E-6</v>
          </cell>
          <cell r="J375">
            <v>2.9492158154682299E-7</v>
          </cell>
        </row>
        <row r="376">
          <cell r="A376" t="str">
            <v>T_B_c-ICENGA-S4</v>
          </cell>
          <cell r="B376" t="str">
            <v>VAR_fout</v>
          </cell>
          <cell r="C376" t="str">
            <v>CO2_T</v>
          </cell>
          <cell r="H376">
            <v>1.07115531790934E-4</v>
          </cell>
          <cell r="I376">
            <v>5.2880405317991303E-5</v>
          </cell>
        </row>
        <row r="377">
          <cell r="A377" t="str">
            <v>T_B_c-ICENGA-S4</v>
          </cell>
          <cell r="B377" t="str">
            <v>VAR_fout</v>
          </cell>
          <cell r="C377" t="str">
            <v>TPBSc</v>
          </cell>
          <cell r="H377">
            <v>8.5920824773247896E-8</v>
          </cell>
          <cell r="I377">
            <v>4.4535026387961501E-8</v>
          </cell>
        </row>
        <row r="378">
          <cell r="A378" t="str">
            <v>T_B_c-ICENGA-S4</v>
          </cell>
          <cell r="B378" t="str">
            <v>VAR_fin</v>
          </cell>
          <cell r="C378" t="str">
            <v>TNGA</v>
          </cell>
          <cell r="H378">
            <v>1.899211556576836E-6</v>
          </cell>
          <cell r="I378">
            <v>9.3759583897147804E-7</v>
          </cell>
        </row>
        <row r="379">
          <cell r="A379" t="str">
            <v>T_B_c-ICENGA-S4</v>
          </cell>
          <cell r="B379" t="str">
            <v>VAR_ncap</v>
          </cell>
          <cell r="C379" t="str">
            <v>-</v>
          </cell>
          <cell r="H379">
            <v>1.41137503438068E-8</v>
          </cell>
          <cell r="I379">
            <v>1.3815466315613199E-8</v>
          </cell>
        </row>
        <row r="380">
          <cell r="A380" t="str">
            <v>T_B_c-ICENGA-S4</v>
          </cell>
          <cell r="B380" t="str">
            <v>VAR_cap</v>
          </cell>
          <cell r="C380" t="str">
            <v>-</v>
          </cell>
          <cell r="H380">
            <v>1.6852698654281301E-8</v>
          </cell>
          <cell r="I380">
            <v>2.3454964578332599E-8</v>
          </cell>
          <cell r="J380">
            <v>2.4244573438995199E-9</v>
          </cell>
        </row>
        <row r="381">
          <cell r="A381" t="str">
            <v>T_B_u-ICEDSL-S3</v>
          </cell>
          <cell r="B381" t="str">
            <v>VAR_fout</v>
          </cell>
          <cell r="C381" t="str">
            <v>CO2_T</v>
          </cell>
          <cell r="H381">
            <v>92.159815440233047</v>
          </cell>
          <cell r="I381">
            <v>0.15719599666861223</v>
          </cell>
          <cell r="J381">
            <v>4.7979555998343901E-2</v>
          </cell>
        </row>
        <row r="382">
          <cell r="A382" t="str">
            <v>T_B_u-ICEDSL-S3</v>
          </cell>
          <cell r="B382" t="str">
            <v>VAR_fout</v>
          </cell>
          <cell r="C382" t="str">
            <v>TPBSu</v>
          </cell>
          <cell r="H382">
            <v>8.5717438060705323E-2</v>
          </cell>
          <cell r="I382">
            <v>1.6042403322418306E-4</v>
          </cell>
          <cell r="J382">
            <v>4.9203942784134218E-5</v>
          </cell>
        </row>
        <row r="383">
          <cell r="A383" t="str">
            <v>T_B_u-ICEDSL-S3</v>
          </cell>
          <cell r="B383" t="str">
            <v>VAR_fin</v>
          </cell>
          <cell r="C383" t="str">
            <v>TDSL</v>
          </cell>
          <cell r="H383">
            <v>1.2572962543005881</v>
          </cell>
          <cell r="I383">
            <v>2.1445565711952488E-3</v>
          </cell>
          <cell r="J383">
            <v>6.5456420188736626E-4</v>
          </cell>
        </row>
        <row r="384">
          <cell r="A384" t="str">
            <v>T_B_u-ICEDSL-S3</v>
          </cell>
          <cell r="B384" t="str">
            <v>VAR_ncap</v>
          </cell>
          <cell r="C384" t="str">
            <v>-</v>
          </cell>
          <cell r="H384">
            <v>3.11947293887887E-7</v>
          </cell>
          <cell r="I384">
            <v>2.7311842031154199E-6</v>
          </cell>
        </row>
        <row r="385">
          <cell r="A385" t="str">
            <v>T_B_u-ICEDSL-S3</v>
          </cell>
          <cell r="B385" t="str">
            <v>VAR_cap</v>
          </cell>
          <cell r="C385" t="str">
            <v>-</v>
          </cell>
          <cell r="H385">
            <v>1.6164511183057199E-3</v>
          </cell>
          <cell r="I385">
            <v>3.0431314970033101E-6</v>
          </cell>
          <cell r="J385">
            <v>9.3548861833954796E-7</v>
          </cell>
        </row>
        <row r="386">
          <cell r="A386" t="str">
            <v>T_B_u-ICEDSL-S4</v>
          </cell>
          <cell r="B386" t="str">
            <v>VAR_fout</v>
          </cell>
          <cell r="C386" t="str">
            <v>CO2_T</v>
          </cell>
          <cell r="H386">
            <v>1.3247271718233E-4</v>
          </cell>
          <cell r="I386">
            <v>6.5746525410102595E-5</v>
          </cell>
        </row>
        <row r="387">
          <cell r="A387" t="str">
            <v>T_B_u-ICEDSL-S4</v>
          </cell>
          <cell r="B387" t="str">
            <v>VAR_fout</v>
          </cell>
          <cell r="C387" t="str">
            <v>TPBSu</v>
          </cell>
          <cell r="H387">
            <v>8.6605122586647389E-8</v>
          </cell>
          <cell r="I387">
            <v>4.5095261245342903E-8</v>
          </cell>
        </row>
        <row r="388">
          <cell r="A388" t="str">
            <v>T_B_u-ICEDSL-S4</v>
          </cell>
          <cell r="B388" t="str">
            <v>VAR_fin</v>
          </cell>
          <cell r="C388" t="str">
            <v>TDSL</v>
          </cell>
          <cell r="H388">
            <v>1.807267628681179E-6</v>
          </cell>
          <cell r="I388">
            <v>8.9695123342568305E-7</v>
          </cell>
        </row>
        <row r="389">
          <cell r="A389" t="str">
            <v>T_B_u-ICEDSL-S4</v>
          </cell>
          <cell r="B389" t="str">
            <v>VAR_ncap</v>
          </cell>
          <cell r="C389" t="str">
            <v>-</v>
          </cell>
          <cell r="H389">
            <v>1.26449580832795E-8</v>
          </cell>
          <cell r="I389">
            <v>1.2557091226146601E-8</v>
          </cell>
        </row>
        <row r="390">
          <cell r="A390" t="str">
            <v>T_B_u-ICEDSL-S4</v>
          </cell>
          <cell r="B390" t="str">
            <v>VAR_cap</v>
          </cell>
          <cell r="C390" t="str">
            <v>-</v>
          </cell>
          <cell r="H390">
            <v>1.53849119827109E-8</v>
          </cell>
          <cell r="I390">
            <v>2.1193424483197501E-8</v>
          </cell>
          <cell r="J390">
            <v>2.2036268154656201E-9</v>
          </cell>
        </row>
        <row r="391">
          <cell r="A391" t="str">
            <v>D-TBDS1intl</v>
          </cell>
          <cell r="B391" t="str">
            <v>VAR_fout</v>
          </cell>
          <cell r="C391" t="str">
            <v>TKERintl_SAF</v>
          </cell>
          <cell r="H391">
            <v>17.0317854666336</v>
          </cell>
          <cell r="I391">
            <v>30.6284295501532</v>
          </cell>
          <cell r="J391">
            <v>78.811900106619106</v>
          </cell>
        </row>
        <row r="392">
          <cell r="A392" t="str">
            <v>D-TBDS1intl</v>
          </cell>
          <cell r="B392" t="str">
            <v>VAR_fin</v>
          </cell>
          <cell r="C392" t="str">
            <v>BDS1</v>
          </cell>
          <cell r="H392">
            <v>17.0317854666336</v>
          </cell>
          <cell r="I392">
            <v>30.6284295501532</v>
          </cell>
          <cell r="J392">
            <v>78.811900106619106</v>
          </cell>
        </row>
        <row r="393">
          <cell r="A393" t="str">
            <v>T_B_c-ICENGAEXT</v>
          </cell>
          <cell r="B393" t="str">
            <v>VAR_fout</v>
          </cell>
          <cell r="C393" t="str">
            <v>CO2_T</v>
          </cell>
        </row>
        <row r="394">
          <cell r="A394" t="str">
            <v>T_B_c-ICENGAEXT</v>
          </cell>
          <cell r="B394" t="str">
            <v>VAR_fout</v>
          </cell>
          <cell r="C394" t="str">
            <v>TPBSc</v>
          </cell>
        </row>
        <row r="395">
          <cell r="A395" t="str">
            <v>T_B_c-ICENGAEXT</v>
          </cell>
          <cell r="B395" t="str">
            <v>VAR_fin</v>
          </cell>
          <cell r="C395" t="str">
            <v>TNGA</v>
          </cell>
        </row>
        <row r="396">
          <cell r="A396" t="str">
            <v>T_B_c-ICENGAEXT</v>
          </cell>
          <cell r="B396" t="str">
            <v>VAR_cap</v>
          </cell>
          <cell r="C396" t="str">
            <v>-</v>
          </cell>
        </row>
        <row r="397">
          <cell r="A397" t="str">
            <v>T_B_u-ICEDSLEXT</v>
          </cell>
          <cell r="B397" t="str">
            <v>VAR_fout</v>
          </cell>
          <cell r="C397" t="str">
            <v>CO2_T</v>
          </cell>
        </row>
        <row r="398">
          <cell r="A398" t="str">
            <v>T_B_u-ICEDSLEXT</v>
          </cell>
          <cell r="B398" t="str">
            <v>VAR_fout</v>
          </cell>
          <cell r="C398" t="str">
            <v>TPBSu</v>
          </cell>
        </row>
        <row r="399">
          <cell r="A399" t="str">
            <v>T_B_u-ICEDSLEXT</v>
          </cell>
          <cell r="B399" t="str">
            <v>VAR_fin</v>
          </cell>
          <cell r="C399" t="str">
            <v>TDSL</v>
          </cell>
        </row>
        <row r="400">
          <cell r="A400" t="str">
            <v>T_B_u-ICEDSLEXT</v>
          </cell>
          <cell r="B400" t="str">
            <v>VAR_cap</v>
          </cell>
          <cell r="C400" t="str">
            <v>-</v>
          </cell>
        </row>
        <row r="401">
          <cell r="A401" t="str">
            <v>D-T-ELC-LGV</v>
          </cell>
          <cell r="B401" t="str">
            <v>VAR_fout</v>
          </cell>
          <cell r="C401" t="str">
            <v>T-ELC-LGV_BatSTGin</v>
          </cell>
          <cell r="H401">
            <v>5.2252403487664436</v>
          </cell>
          <cell r="I401">
            <v>7.0730851084560031</v>
          </cell>
          <cell r="J401">
            <v>8.0799066416611076</v>
          </cell>
        </row>
        <row r="402">
          <cell r="A402" t="str">
            <v>D-T-ELC-LGV</v>
          </cell>
          <cell r="B402" t="str">
            <v>VAR_fin</v>
          </cell>
          <cell r="C402" t="str">
            <v>TELC</v>
          </cell>
          <cell r="H402">
            <v>5.2252403487664436</v>
          </cell>
          <cell r="I402">
            <v>7.0730851084560031</v>
          </cell>
          <cell r="J402">
            <v>8.0799066416611076</v>
          </cell>
        </row>
        <row r="403">
          <cell r="A403" t="str">
            <v>D-T-ELC-LGV</v>
          </cell>
          <cell r="B403" t="str">
            <v>VAR_ncap</v>
          </cell>
          <cell r="C403" t="str">
            <v>-</v>
          </cell>
          <cell r="H403">
            <v>0.39865580034487202</v>
          </cell>
          <cell r="I403">
            <v>0.32211387192718399</v>
          </cell>
          <cell r="J403">
            <v>0.62253917908504697</v>
          </cell>
        </row>
        <row r="404">
          <cell r="A404" t="str">
            <v>D-T-ELC-LGV</v>
          </cell>
          <cell r="B404" t="str">
            <v>VAR_cap</v>
          </cell>
          <cell r="C404" t="str">
            <v>-</v>
          </cell>
          <cell r="H404">
            <v>0.55230434348553303</v>
          </cell>
          <cell r="I404">
            <v>0.74762023736573702</v>
          </cell>
          <cell r="J404">
            <v>0.85404055259633105</v>
          </cell>
        </row>
        <row r="405">
          <cell r="A405" t="str">
            <v>T_C-HYBGSLEXT</v>
          </cell>
          <cell r="B405" t="str">
            <v>VAR_fout</v>
          </cell>
          <cell r="C405" t="str">
            <v>CO2_T</v>
          </cell>
        </row>
        <row r="406">
          <cell r="A406" t="str">
            <v>T_C-HYBGSLEXT</v>
          </cell>
          <cell r="B406" t="str">
            <v>VAR_fout</v>
          </cell>
          <cell r="C406" t="str">
            <v>TPCAR</v>
          </cell>
        </row>
        <row r="407">
          <cell r="A407" t="str">
            <v>T_C-HYBGSLEXT</v>
          </cell>
          <cell r="B407" t="str">
            <v>VAR_fin</v>
          </cell>
          <cell r="C407" t="str">
            <v>TGSL</v>
          </cell>
        </row>
        <row r="408">
          <cell r="A408" t="str">
            <v>T_C-HYBGSLEXT</v>
          </cell>
          <cell r="B408" t="str">
            <v>VAR_cap</v>
          </cell>
          <cell r="C408" t="str">
            <v>-</v>
          </cell>
        </row>
        <row r="409">
          <cell r="A409" t="str">
            <v>TPAVDKEREXT</v>
          </cell>
          <cell r="B409" t="str">
            <v>VAR_fout</v>
          </cell>
          <cell r="C409" t="str">
            <v>CO2_T</v>
          </cell>
          <cell r="H409">
            <v>185.675788544743</v>
          </cell>
          <cell r="I409">
            <v>154.38211110512901</v>
          </cell>
          <cell r="J409">
            <v>123.088433665514</v>
          </cell>
        </row>
        <row r="410">
          <cell r="A410" t="str">
            <v>TPAVDKEREXT</v>
          </cell>
          <cell r="B410" t="str">
            <v>VAR_fout</v>
          </cell>
          <cell r="C410" t="str">
            <v>TPAVD</v>
          </cell>
          <cell r="H410">
            <v>2.5504916008893299</v>
          </cell>
          <cell r="I410">
            <v>2.1206333943012199</v>
          </cell>
          <cell r="J410">
            <v>1.6907751877131001</v>
          </cell>
        </row>
        <row r="411">
          <cell r="A411" t="str">
            <v>TPAVDKEREXT</v>
          </cell>
          <cell r="B411" t="str">
            <v>VAR_fin</v>
          </cell>
          <cell r="C411" t="str">
            <v>TKER</v>
          </cell>
          <cell r="H411">
            <v>2.5504916008893299</v>
          </cell>
          <cell r="I411">
            <v>2.1206333943012199</v>
          </cell>
          <cell r="J411">
            <v>1.6907751877131001</v>
          </cell>
        </row>
        <row r="412">
          <cell r="A412" t="str">
            <v>TPAVDKEREXT</v>
          </cell>
          <cell r="B412" t="str">
            <v>VAR_ncap</v>
          </cell>
          <cell r="C412" t="str">
            <v>-</v>
          </cell>
          <cell r="H412">
            <v>0.78407016191870305</v>
          </cell>
          <cell r="I412">
            <v>0.736042301462555</v>
          </cell>
          <cell r="J412">
            <v>1.0112645213884099</v>
          </cell>
        </row>
        <row r="413">
          <cell r="A413" t="str">
            <v>TPAVDKEREXT</v>
          </cell>
          <cell r="B413" t="str">
            <v>VAR_cap</v>
          </cell>
          <cell r="C413" t="str">
            <v>-</v>
          </cell>
          <cell r="H413">
            <v>3.0658391791364799</v>
          </cell>
          <cell r="I413">
            <v>2.3785842192316151</v>
          </cell>
          <cell r="J413">
            <v>1.8428129176282559</v>
          </cell>
        </row>
        <row r="414">
          <cell r="A414" t="str">
            <v>T_C-ICE-GSL-S1</v>
          </cell>
          <cell r="B414" t="str">
            <v>VAR_fout</v>
          </cell>
          <cell r="C414" t="str">
            <v>CO2_T</v>
          </cell>
          <cell r="H414">
            <v>47.229985717808077</v>
          </cell>
          <cell r="I414">
            <v>6.2348922687682817</v>
          </cell>
        </row>
        <row r="415">
          <cell r="A415" t="str">
            <v>T_C-ICE-GSL-S1</v>
          </cell>
          <cell r="B415" t="str">
            <v>VAR_fout</v>
          </cell>
          <cell r="C415" t="str">
            <v>TPCAR</v>
          </cell>
          <cell r="H415">
            <v>0.38357812674547426</v>
          </cell>
          <cell r="I415">
            <v>5.0609041931348783E-2</v>
          </cell>
        </row>
        <row r="416">
          <cell r="A416" t="str">
            <v>T_C-ICE-GSL-S1</v>
          </cell>
          <cell r="B416" t="str">
            <v>VAR_fin</v>
          </cell>
          <cell r="C416" t="str">
            <v>TGSL</v>
          </cell>
          <cell r="H416">
            <v>0.63997270620336111</v>
          </cell>
          <cell r="I416">
            <v>8.4483635078160924E-2</v>
          </cell>
        </row>
        <row r="417">
          <cell r="A417" t="str">
            <v>T_C-ICE-GSL-S1</v>
          </cell>
          <cell r="B417" t="str">
            <v>VAR_ncap</v>
          </cell>
          <cell r="C417" t="str">
            <v>-</v>
          </cell>
        </row>
        <row r="418">
          <cell r="A418" t="str">
            <v>T_C-ICE-GSL-S1</v>
          </cell>
          <cell r="B418" t="str">
            <v>VAR_cap</v>
          </cell>
          <cell r="C418" t="str">
            <v>-</v>
          </cell>
          <cell r="H418">
            <v>5.8293286692126037E-2</v>
          </cell>
          <cell r="I418">
            <v>7.6910283476139315E-3</v>
          </cell>
        </row>
        <row r="419">
          <cell r="A419" t="str">
            <v>V2G</v>
          </cell>
          <cell r="B419" t="str">
            <v>VAR_fout</v>
          </cell>
          <cell r="C419" t="str">
            <v>ELC35</v>
          </cell>
          <cell r="H419">
            <v>0.16733193999949741</v>
          </cell>
          <cell r="I419">
            <v>0.64953131909429251</v>
          </cell>
          <cell r="J419">
            <v>1.0727672692526673</v>
          </cell>
        </row>
        <row r="420">
          <cell r="A420" t="str">
            <v>V2G</v>
          </cell>
          <cell r="B420" t="str">
            <v>VAR_fin</v>
          </cell>
          <cell r="C420" t="str">
            <v>T-ELC-Bus_c_BatSTGout_S1</v>
          </cell>
          <cell r="H420">
            <v>9.4195319986597873E-4</v>
          </cell>
          <cell r="I420">
            <v>6.1518538557552417E-4</v>
          </cell>
          <cell r="J420">
            <v>2.2085380279751599E-4</v>
          </cell>
        </row>
        <row r="421">
          <cell r="A421" t="str">
            <v>V2G</v>
          </cell>
          <cell r="B421" t="str">
            <v>VAR_fin</v>
          </cell>
          <cell r="C421" t="str">
            <v>T-ELC-Bus_c_BatSTGout_S2</v>
          </cell>
          <cell r="H421">
            <v>9.7138528917065613E-4</v>
          </cell>
          <cell r="I421">
            <v>6.4356465562232011E-4</v>
          </cell>
          <cell r="J421">
            <v>2.303801355657239E-4</v>
          </cell>
        </row>
        <row r="422">
          <cell r="A422" t="str">
            <v>V2G</v>
          </cell>
          <cell r="B422" t="str">
            <v>VAR_fin</v>
          </cell>
          <cell r="C422" t="str">
            <v>T-ELC-Bus_c_BatSTGout_S3</v>
          </cell>
          <cell r="H422">
            <v>6.1477430798287001E-4</v>
          </cell>
          <cell r="I422">
            <v>4.6703973809130665E-4</v>
          </cell>
          <cell r="J422">
            <v>2.0857342464326311E-4</v>
          </cell>
        </row>
        <row r="423">
          <cell r="A423" t="str">
            <v>V2G</v>
          </cell>
          <cell r="B423" t="str">
            <v>VAR_fin</v>
          </cell>
          <cell r="C423" t="str">
            <v>T-ELC-Bus_c_BatSTGout_S4</v>
          </cell>
          <cell r="H423">
            <v>3.9835371115651075E-5</v>
          </cell>
          <cell r="I423">
            <v>5.0693774900440897E-5</v>
          </cell>
          <cell r="J423">
            <v>2.5264802228877384E-5</v>
          </cell>
        </row>
        <row r="424">
          <cell r="A424" t="str">
            <v>V2G</v>
          </cell>
          <cell r="B424" t="str">
            <v>VAR_fin</v>
          </cell>
          <cell r="C424" t="str">
            <v>T-ELC-car-BatSTGOut_S1</v>
          </cell>
          <cell r="H424">
            <v>3.8547250981950124E-2</v>
          </cell>
          <cell r="I424">
            <v>0.29954458032818365</v>
          </cell>
          <cell r="J424">
            <v>0.538682112926269</v>
          </cell>
        </row>
        <row r="425">
          <cell r="A425" t="str">
            <v>V2G</v>
          </cell>
          <cell r="B425" t="str">
            <v>VAR_fin</v>
          </cell>
          <cell r="C425" t="str">
            <v>T-ELC-car-BatSTGOut_S2</v>
          </cell>
          <cell r="H425">
            <v>2.220580906011714E-2</v>
          </cell>
          <cell r="I425">
            <v>8.6738886997705295E-2</v>
          </cell>
          <cell r="J425">
            <v>0.15508779551502652</v>
          </cell>
        </row>
        <row r="426">
          <cell r="A426" t="str">
            <v>V2G</v>
          </cell>
          <cell r="B426" t="str">
            <v>VAR_fin</v>
          </cell>
          <cell r="C426" t="str">
            <v>T-ELC-car-BatSTGOut_S3</v>
          </cell>
          <cell r="H426">
            <v>2.8206486795959312E-2</v>
          </cell>
          <cell r="I426">
            <v>9.2878024192034919E-2</v>
          </cell>
          <cell r="J426">
            <v>0.15301886350999094</v>
          </cell>
        </row>
        <row r="427">
          <cell r="A427" t="str">
            <v>V2G</v>
          </cell>
          <cell r="B427" t="str">
            <v>VAR_fin</v>
          </cell>
          <cell r="C427" t="str">
            <v>T-ELC-car-BatSTGOut_S4</v>
          </cell>
          <cell r="H427">
            <v>2.1783076493367987E-2</v>
          </cell>
          <cell r="I427">
            <v>8.4372669867761887E-2</v>
          </cell>
          <cell r="J427">
            <v>0.14468622769514289</v>
          </cell>
        </row>
        <row r="428">
          <cell r="A428" t="str">
            <v>V2G</v>
          </cell>
          <cell r="B428" t="str">
            <v>VAR_fin</v>
          </cell>
          <cell r="C428" t="str">
            <v>T-ELC-car-PlgSTGOut_S1</v>
          </cell>
          <cell r="H428">
            <v>1.6356066560466889E-4</v>
          </cell>
          <cell r="I428">
            <v>1.3056724262437453E-4</v>
          </cell>
          <cell r="J428">
            <v>3.2415364031715153E-5</v>
          </cell>
        </row>
        <row r="429">
          <cell r="A429" t="str">
            <v>V2G</v>
          </cell>
          <cell r="B429" t="str">
            <v>VAR_fin</v>
          </cell>
          <cell r="C429" t="str">
            <v>T-ELC-car-PlgSTGOut_S2</v>
          </cell>
          <cell r="H429">
            <v>2.9289033844049681E-5</v>
          </cell>
          <cell r="I429">
            <v>5.8931829944450142E-5</v>
          </cell>
          <cell r="J429">
            <v>1.9559732778876685E-4</v>
          </cell>
        </row>
        <row r="430">
          <cell r="A430" t="str">
            <v>V2G</v>
          </cell>
          <cell r="B430" t="str">
            <v>VAR_fin</v>
          </cell>
          <cell r="C430" t="str">
            <v>T-ELC-car-PlgSTGOut_S3</v>
          </cell>
          <cell r="H430">
            <v>3.3119600936299481E-2</v>
          </cell>
          <cell r="I430">
            <v>5.6142703170383203E-2</v>
          </cell>
          <cell r="J430">
            <v>7.5714163163092568E-2</v>
          </cell>
        </row>
        <row r="431">
          <cell r="A431" t="str">
            <v>V2G</v>
          </cell>
          <cell r="B431" t="str">
            <v>VAR_fin</v>
          </cell>
          <cell r="C431" t="str">
            <v>T-ELC-TWSTGout_S1</v>
          </cell>
          <cell r="H431">
            <v>4.5502320941933759E-4</v>
          </cell>
          <cell r="I431">
            <v>7.6683763052378848E-5</v>
          </cell>
          <cell r="J431">
            <v>4.0849750946431775E-5</v>
          </cell>
        </row>
        <row r="432">
          <cell r="A432" t="str">
            <v>V2G</v>
          </cell>
          <cell r="B432" t="str">
            <v>VAR_fin</v>
          </cell>
          <cell r="C432" t="str">
            <v>T-ELC-car-PlgSTGOut_S4</v>
          </cell>
          <cell r="H432">
            <v>1.4022401552113236E-2</v>
          </cell>
          <cell r="I432">
            <v>1.9399161739550488E-2</v>
          </cell>
          <cell r="J432">
            <v>8.104791853790318E-5</v>
          </cell>
        </row>
        <row r="433">
          <cell r="A433" t="str">
            <v>V2G</v>
          </cell>
          <cell r="B433" t="str">
            <v>VAR_fin</v>
          </cell>
          <cell r="C433" t="str">
            <v>T-ELC-TWSTGout_S2</v>
          </cell>
          <cell r="H433">
            <v>4.943677251285759E-4</v>
          </cell>
          <cell r="I433">
            <v>4.6539488660565965E-4</v>
          </cell>
          <cell r="J433">
            <v>2.6592728352341368E-4</v>
          </cell>
        </row>
        <row r="434">
          <cell r="A434" t="str">
            <v>V2G</v>
          </cell>
          <cell r="B434" t="str">
            <v>VAR_fin</v>
          </cell>
          <cell r="C434" t="str">
            <v>T-ELC-TWSTGout_S3</v>
          </cell>
          <cell r="H434">
            <v>7.2310990287262138E-4</v>
          </cell>
          <cell r="I434">
            <v>6.9232242179382121E-4</v>
          </cell>
          <cell r="J434">
            <v>4.5620987796562783E-4</v>
          </cell>
        </row>
        <row r="435">
          <cell r="A435" t="str">
            <v>V2G</v>
          </cell>
          <cell r="B435" t="str">
            <v>VAR_fin</v>
          </cell>
          <cell r="C435" t="str">
            <v>T-ELC-TWSTGout_S4</v>
          </cell>
          <cell r="H435">
            <v>8.1934757063254848E-4</v>
          </cell>
          <cell r="I435">
            <v>8.2139680150856401E-4</v>
          </cell>
          <cell r="J435">
            <v>6.741310138491059E-4</v>
          </cell>
        </row>
        <row r="436">
          <cell r="A436" t="str">
            <v>V2G</v>
          </cell>
          <cell r="B436" t="str">
            <v>VAR_fin</v>
          </cell>
          <cell r="C436" t="str">
            <v>T-ELC-Bus_u_BatSTGout_S1</v>
          </cell>
          <cell r="H436">
            <v>1.5677489464776299E-5</v>
          </cell>
          <cell r="I436">
            <v>1.4760184539872494E-5</v>
          </cell>
          <cell r="J436">
            <v>1.0803649562030781E-5</v>
          </cell>
        </row>
        <row r="437">
          <cell r="A437" t="str">
            <v>V2G</v>
          </cell>
          <cell r="B437" t="str">
            <v>VAR_fin</v>
          </cell>
          <cell r="C437" t="str">
            <v>T-ELC-Bus_u_BatSTGout_S2</v>
          </cell>
          <cell r="H437">
            <v>1.4278562112111914E-5</v>
          </cell>
          <cell r="I437">
            <v>1.2085079437205334E-5</v>
          </cell>
          <cell r="J437">
            <v>9.3009113782013725E-6</v>
          </cell>
        </row>
        <row r="438">
          <cell r="A438" t="str">
            <v>V2G</v>
          </cell>
          <cell r="B438" t="str">
            <v>VAR_fin</v>
          </cell>
          <cell r="C438" t="str">
            <v>T-ELC-Bus_u_BatSTGout_S3</v>
          </cell>
          <cell r="H438">
            <v>8.7187488986277329E-6</v>
          </cell>
          <cell r="I438">
            <v>7.4597836797645742E-6</v>
          </cell>
          <cell r="J438">
            <v>6.0378119359425518E-6</v>
          </cell>
        </row>
        <row r="439">
          <cell r="A439" t="str">
            <v>V2G</v>
          </cell>
          <cell r="B439" t="str">
            <v>VAR_fin</v>
          </cell>
          <cell r="C439" t="str">
            <v>T-ELC-Bus_u_BatSTGout_S4</v>
          </cell>
          <cell r="H439">
            <v>1.9585109556148461E-5</v>
          </cell>
          <cell r="I439">
            <v>2.2815159715655792E-5</v>
          </cell>
          <cell r="J439">
            <v>1.4653615042912987E-5</v>
          </cell>
        </row>
        <row r="440">
          <cell r="A440" t="str">
            <v>V2G</v>
          </cell>
          <cell r="B440" t="str">
            <v>VAR_fin</v>
          </cell>
          <cell r="C440" t="str">
            <v>T-ELC-LGV_BatSTGout</v>
          </cell>
          <cell r="H440">
            <v>5.7744002365649168E-5</v>
          </cell>
          <cell r="I440">
            <v>4.3479224711522551E-5</v>
          </cell>
          <cell r="J440">
            <v>2.5420494307502832E-5</v>
          </cell>
        </row>
        <row r="441">
          <cell r="A441" t="str">
            <v>V2G</v>
          </cell>
          <cell r="B441" t="str">
            <v>VAR_fin</v>
          </cell>
          <cell r="C441" t="str">
            <v>T-ELC-HGV_BatSTGout</v>
          </cell>
          <cell r="H441">
            <v>4.0798306131742609E-3</v>
          </cell>
          <cell r="I441">
            <v>6.3339703966277909E-3</v>
          </cell>
          <cell r="J441">
            <v>3.0799330813559645E-3</v>
          </cell>
        </row>
        <row r="442">
          <cell r="A442" t="str">
            <v>V2G</v>
          </cell>
          <cell r="B442" t="str">
            <v>VAR_ncap</v>
          </cell>
          <cell r="C442" t="str">
            <v>-</v>
          </cell>
          <cell r="H442">
            <v>0.69538558462928202</v>
          </cell>
          <cell r="I442">
            <v>1.80392460321751</v>
          </cell>
          <cell r="J442">
            <v>2.1501394889734402</v>
          </cell>
        </row>
        <row r="443">
          <cell r="A443" t="str">
            <v>V2G</v>
          </cell>
          <cell r="B443" t="str">
            <v>VAR_cap</v>
          </cell>
          <cell r="C443" t="str">
            <v>-</v>
          </cell>
          <cell r="H443">
            <v>0.69588100910765749</v>
          </cell>
          <cell r="I443">
            <v>2.4996477478468373</v>
          </cell>
          <cell r="J443">
            <v>3.7534518262765095</v>
          </cell>
        </row>
        <row r="444">
          <cell r="A444" t="str">
            <v>TPSHPELCEXT</v>
          </cell>
          <cell r="B444" t="str">
            <v>VAR_fout</v>
          </cell>
          <cell r="C444" t="str">
            <v>TPSHP</v>
          </cell>
          <cell r="H444">
            <v>0.17029181762798401</v>
          </cell>
          <cell r="I444">
            <v>8.5403968808211292</v>
          </cell>
          <cell r="J444">
            <v>14.125419874800199</v>
          </cell>
        </row>
        <row r="445">
          <cell r="A445" t="str">
            <v>TPSHPELCEXT</v>
          </cell>
          <cell r="B445" t="str">
            <v>VAR_fin</v>
          </cell>
          <cell r="C445" t="str">
            <v>TELC</v>
          </cell>
          <cell r="H445">
            <v>6.9016948113544224E-2</v>
          </cell>
          <cell r="I445">
            <v>3.4613062248261675</v>
          </cell>
          <cell r="J445">
            <v>5.7248397730467762</v>
          </cell>
        </row>
        <row r="446">
          <cell r="A446" t="str">
            <v>TPSHPELCEXT</v>
          </cell>
          <cell r="B446" t="str">
            <v>VAR_ncap</v>
          </cell>
          <cell r="C446" t="str">
            <v>-</v>
          </cell>
          <cell r="H446">
            <v>4.0128781834875201E-5</v>
          </cell>
          <cell r="I446">
            <v>8.4131940368938007</v>
          </cell>
          <cell r="J446">
            <v>5.7121931827524399</v>
          </cell>
        </row>
        <row r="447">
          <cell r="A447" t="str">
            <v>TPSHPELCEXT</v>
          </cell>
          <cell r="B447" t="str">
            <v>VAR_cap</v>
          </cell>
          <cell r="C447" t="str">
            <v>-</v>
          </cell>
          <cell r="H447">
            <v>0.17029172760080916</v>
          </cell>
          <cell r="I447">
            <v>8.5403962971542295</v>
          </cell>
          <cell r="J447">
            <v>14.125419690192061</v>
          </cell>
        </row>
        <row r="448">
          <cell r="A448" t="str">
            <v>TFLGV-ICEGSL</v>
          </cell>
          <cell r="B448" t="str">
            <v>VAR_fout</v>
          </cell>
          <cell r="C448" t="str">
            <v>CO2_T</v>
          </cell>
          <cell r="H448">
            <v>13.519922693012553</v>
          </cell>
          <cell r="I448">
            <v>2.7727306880918599E-2</v>
          </cell>
        </row>
        <row r="449">
          <cell r="A449" t="str">
            <v>TFLGV-ICEGSL</v>
          </cell>
          <cell r="B449" t="str">
            <v>VAR_fout</v>
          </cell>
          <cell r="C449" t="str">
            <v>TFLGV</v>
          </cell>
          <cell r="H449">
            <v>6.434413555350782E-2</v>
          </cell>
          <cell r="I449">
            <v>1.3196004392847634E-4</v>
          </cell>
        </row>
        <row r="450">
          <cell r="A450" t="str">
            <v>TFLGV-ICEGSL</v>
          </cell>
          <cell r="B450" t="str">
            <v>VAR_fin</v>
          </cell>
          <cell r="C450" t="str">
            <v>TGSL</v>
          </cell>
          <cell r="H450">
            <v>0.18319678445816392</v>
          </cell>
          <cell r="I450">
            <v>3.7570876532410025E-4</v>
          </cell>
        </row>
        <row r="451">
          <cell r="A451" t="str">
            <v>TFLGV-ICEGSL</v>
          </cell>
          <cell r="B451" t="str">
            <v>VAR_ncap</v>
          </cell>
          <cell r="C451" t="str">
            <v>-</v>
          </cell>
        </row>
        <row r="452">
          <cell r="A452" t="str">
            <v>TFLGV-ICEGSL</v>
          </cell>
          <cell r="B452" t="str">
            <v>VAR_cap</v>
          </cell>
          <cell r="C452" t="str">
            <v>-</v>
          </cell>
          <cell r="H452">
            <v>6.4045067374431802E-3</v>
          </cell>
          <cell r="I452">
            <v>1.0990772187104199E-5</v>
          </cell>
        </row>
        <row r="453">
          <cell r="A453" t="str">
            <v>T_C-ICE-GSL-S2</v>
          </cell>
          <cell r="B453" t="str">
            <v>VAR_fout</v>
          </cell>
          <cell r="C453" t="str">
            <v>CO2_T</v>
          </cell>
          <cell r="H453">
            <v>54.354799707969271</v>
          </cell>
          <cell r="I453">
            <v>5.7502672280974361</v>
          </cell>
        </row>
        <row r="454">
          <cell r="A454" t="str">
            <v>T_C-ICE-GSL-S2</v>
          </cell>
          <cell r="B454" t="str">
            <v>VAR_fout</v>
          </cell>
          <cell r="C454" t="str">
            <v>TPCAR</v>
          </cell>
          <cell r="H454">
            <v>0.41638906246778712</v>
          </cell>
          <cell r="I454">
            <v>4.3138540325611333E-2</v>
          </cell>
        </row>
        <row r="455">
          <cell r="A455" t="str">
            <v>T_C-ICE-GSL-S2</v>
          </cell>
          <cell r="B455" t="str">
            <v>VAR_fin</v>
          </cell>
          <cell r="C455" t="str">
            <v>TGSL</v>
          </cell>
          <cell r="H455">
            <v>0.73651490119199559</v>
          </cell>
          <cell r="I455">
            <v>7.7916900109721465E-2</v>
          </cell>
        </row>
        <row r="456">
          <cell r="A456" t="str">
            <v>T_C-ICE-GSL-S2</v>
          </cell>
          <cell r="B456" t="str">
            <v>VAR_ncap</v>
          </cell>
          <cell r="C456" t="str">
            <v>-</v>
          </cell>
        </row>
        <row r="457">
          <cell r="A457" t="str">
            <v>T_C-ICE-GSL-S2</v>
          </cell>
          <cell r="B457" t="str">
            <v>VAR_cap</v>
          </cell>
          <cell r="C457" t="str">
            <v>-</v>
          </cell>
          <cell r="H457">
            <v>4.3913633000404101E-2</v>
          </cell>
          <cell r="I457">
            <v>4.5492247341628158E-3</v>
          </cell>
        </row>
        <row r="458">
          <cell r="A458" t="str">
            <v>T_C-ICE-DSL-S1</v>
          </cell>
          <cell r="B458" t="str">
            <v>VAR_fout</v>
          </cell>
          <cell r="C458" t="str">
            <v>CO2_T</v>
          </cell>
          <cell r="H458">
            <v>1.1097642676361846E-2</v>
          </cell>
          <cell r="I458">
            <v>1.4308638579340681E-3</v>
          </cell>
        </row>
        <row r="459">
          <cell r="A459" t="str">
            <v>T_C-ICE-DSL-S1</v>
          </cell>
          <cell r="B459" t="str">
            <v>VAR_fout</v>
          </cell>
          <cell r="C459" t="str">
            <v>TPCAR</v>
          </cell>
          <cell r="H459">
            <v>1.3140849368471004E-4</v>
          </cell>
          <cell r="I459">
            <v>1.3006539738315686E-5</v>
          </cell>
        </row>
        <row r="460">
          <cell r="A460" t="str">
            <v>T_C-ICE-DSL-S1</v>
          </cell>
          <cell r="B460" t="str">
            <v>VAR_fin</v>
          </cell>
          <cell r="C460" t="str">
            <v>TDSL</v>
          </cell>
          <cell r="H460">
            <v>1.5140030936373607E-4</v>
          </cell>
          <cell r="I460">
            <v>1.952065290496689E-5</v>
          </cell>
        </row>
        <row r="461">
          <cell r="A461" t="str">
            <v>T_C-ICE-DSL-S1</v>
          </cell>
          <cell r="B461" t="str">
            <v>VAR_ncap</v>
          </cell>
          <cell r="C461" t="str">
            <v>-</v>
          </cell>
        </row>
        <row r="462">
          <cell r="A462" t="str">
            <v>T_C-ICE-DSL-S1</v>
          </cell>
          <cell r="B462" t="str">
            <v>VAR_cap</v>
          </cell>
          <cell r="C462" t="str">
            <v>-</v>
          </cell>
          <cell r="H462">
            <v>1.9180962775562551E-5</v>
          </cell>
          <cell r="I462">
            <v>1.87726745747446E-6</v>
          </cell>
        </row>
        <row r="463">
          <cell r="A463" t="str">
            <v>T_C-ICE-GSL-S3</v>
          </cell>
          <cell r="B463" t="str">
            <v>VAR_fout</v>
          </cell>
          <cell r="C463" t="str">
            <v>CO2_T</v>
          </cell>
          <cell r="H463">
            <v>19.642563653046206</v>
          </cell>
          <cell r="I463">
            <v>8.3176152935218753E-2</v>
          </cell>
        </row>
        <row r="464">
          <cell r="A464" t="str">
            <v>T_C-ICE-GSL-S3</v>
          </cell>
          <cell r="B464" t="str">
            <v>VAR_fout</v>
          </cell>
          <cell r="C464" t="str">
            <v>TPCAR</v>
          </cell>
          <cell r="H464">
            <v>0.13772907133763249</v>
          </cell>
          <cell r="I464">
            <v>5.4217206122828432E-4</v>
          </cell>
        </row>
        <row r="465">
          <cell r="A465" t="str">
            <v>T_C-ICE-GSL-S3</v>
          </cell>
          <cell r="B465" t="str">
            <v>VAR_fin</v>
          </cell>
          <cell r="C465" t="str">
            <v>TGSL</v>
          </cell>
          <cell r="H465">
            <v>0.26615939909276598</v>
          </cell>
          <cell r="I465">
            <v>1.1270481427536425E-3</v>
          </cell>
        </row>
        <row r="466">
          <cell r="A466" t="str">
            <v>T_C-ICE-GSL-S3</v>
          </cell>
          <cell r="B466" t="str">
            <v>VAR_ncap</v>
          </cell>
          <cell r="C466" t="str">
            <v>-</v>
          </cell>
        </row>
        <row r="467">
          <cell r="A467" t="str">
            <v>T_C-ICE-GSL-S3</v>
          </cell>
          <cell r="B467" t="str">
            <v>VAR_cap</v>
          </cell>
          <cell r="C467" t="str">
            <v>-</v>
          </cell>
          <cell r="H467">
            <v>9.47549622725306E-3</v>
          </cell>
          <cell r="I467">
            <v>3.95196280879622E-5</v>
          </cell>
        </row>
        <row r="468">
          <cell r="A468" t="str">
            <v>T_C-ICE-DSL-S2</v>
          </cell>
          <cell r="B468" t="str">
            <v>VAR_fout</v>
          </cell>
          <cell r="C468" t="str">
            <v>CO2_T</v>
          </cell>
          <cell r="H468">
            <v>1.4849245580973982</v>
          </cell>
          <cell r="I468">
            <v>1.5441120335510361E-3</v>
          </cell>
        </row>
        <row r="469">
          <cell r="A469" t="str">
            <v>T_C-ICE-DSL-S2</v>
          </cell>
          <cell r="B469" t="str">
            <v>VAR_fout</v>
          </cell>
          <cell r="C469" t="str">
            <v>TPCAR</v>
          </cell>
          <cell r="H469">
            <v>1.6844268547290535E-2</v>
          </cell>
          <cell r="I469">
            <v>1.1387495476823229E-5</v>
          </cell>
        </row>
        <row r="470">
          <cell r="A470" t="str">
            <v>T_C-ICE-DSL-S2</v>
          </cell>
          <cell r="B470" t="str">
            <v>VAR_fin</v>
          </cell>
          <cell r="C470" t="str">
            <v>TDSL</v>
          </cell>
          <cell r="H470">
            <v>2.0258179510196487E-2</v>
          </cell>
          <cell r="I470">
            <v>2.1065648479550263E-5</v>
          </cell>
        </row>
        <row r="471">
          <cell r="A471" t="str">
            <v>T_C-ICE-DSL-S2</v>
          </cell>
          <cell r="B471" t="str">
            <v>VAR_ncap</v>
          </cell>
          <cell r="C471" t="str">
            <v>-</v>
          </cell>
        </row>
        <row r="472">
          <cell r="A472" t="str">
            <v>T_C-ICE-DSL-S2</v>
          </cell>
          <cell r="B472" t="str">
            <v>VAR_cap</v>
          </cell>
          <cell r="C472" t="str">
            <v>-</v>
          </cell>
          <cell r="H472">
            <v>1.770113734800402E-3</v>
          </cell>
          <cell r="I472">
            <v>1.0736917836815099E-6</v>
          </cell>
        </row>
        <row r="473">
          <cell r="A473" t="str">
            <v>TPRLPH2OFCL</v>
          </cell>
          <cell r="B473" t="str">
            <v>VAR_fout</v>
          </cell>
          <cell r="C473" t="str">
            <v>TPRLP</v>
          </cell>
          <cell r="J473">
            <v>2.6802796174261333E-7</v>
          </cell>
        </row>
        <row r="474">
          <cell r="A474" t="str">
            <v>TPRLPH2OFCL</v>
          </cell>
          <cell r="B474" t="str">
            <v>VAR_fin</v>
          </cell>
          <cell r="C474" t="str">
            <v>TH2O</v>
          </cell>
          <cell r="J474">
            <v>1.3873027342474267E-5</v>
          </cell>
        </row>
        <row r="475">
          <cell r="A475" t="str">
            <v>T_C-ICE-GSL-S4</v>
          </cell>
          <cell r="B475" t="str">
            <v>VAR_fout</v>
          </cell>
          <cell r="C475" t="str">
            <v>CO2_T</v>
          </cell>
          <cell r="H475">
            <v>157.33162549798109</v>
          </cell>
          <cell r="I475">
            <v>19.431976497199933</v>
          </cell>
        </row>
        <row r="476">
          <cell r="A476" t="str">
            <v>T_C-ICE-GSL-S4</v>
          </cell>
          <cell r="B476" t="str">
            <v>VAR_fout</v>
          </cell>
          <cell r="C476" t="str">
            <v>TPCAR</v>
          </cell>
          <cell r="H476">
            <v>0.92539179706853325</v>
          </cell>
          <cell r="I476">
            <v>0.11439309721904871</v>
          </cell>
        </row>
        <row r="477">
          <cell r="A477" t="str">
            <v>T_C-ICE-GSL-S4</v>
          </cell>
          <cell r="B477" t="str">
            <v>VAR_fin</v>
          </cell>
          <cell r="C477" t="str">
            <v>TGSL</v>
          </cell>
          <cell r="H477">
            <v>2.1318648441460821</v>
          </cell>
          <cell r="I477">
            <v>0.26330591459620545</v>
          </cell>
        </row>
        <row r="478">
          <cell r="A478" t="str">
            <v>T_C-ICE-GSL-S4</v>
          </cell>
          <cell r="B478" t="str">
            <v>VAR_ncap</v>
          </cell>
          <cell r="C478" t="str">
            <v>-</v>
          </cell>
        </row>
        <row r="479">
          <cell r="A479" t="str">
            <v>T_C-ICE-GSL-S4</v>
          </cell>
          <cell r="B479" t="str">
            <v>VAR_cap</v>
          </cell>
          <cell r="C479" t="str">
            <v>-</v>
          </cell>
          <cell r="H479">
            <v>0.10408575903245651</v>
          </cell>
          <cell r="I479">
            <v>1.2865887536351501E-2</v>
          </cell>
        </row>
        <row r="480">
          <cell r="A480" t="str">
            <v>T_C-ICE-DSL-S3</v>
          </cell>
          <cell r="B480" t="str">
            <v>VAR_fout</v>
          </cell>
          <cell r="C480" t="str">
            <v>CO2_T</v>
          </cell>
          <cell r="H480">
            <v>10.116877257919173</v>
          </cell>
          <cell r="I480">
            <v>1.3682920982156851E-3</v>
          </cell>
        </row>
        <row r="481">
          <cell r="A481" t="str">
            <v>T_C-ICE-DSL-S3</v>
          </cell>
          <cell r="B481" t="str">
            <v>VAR_fout</v>
          </cell>
          <cell r="C481" t="str">
            <v>TPCAR</v>
          </cell>
          <cell r="H481">
            <v>8.1633087156565518E-2</v>
          </cell>
          <cell r="I481">
            <v>8.9222235660782193E-6</v>
          </cell>
        </row>
        <row r="482">
          <cell r="A482" t="str">
            <v>T_C-ICE-DSL-S3</v>
          </cell>
          <cell r="B482" t="str">
            <v>VAR_fin</v>
          </cell>
          <cell r="C482" t="str">
            <v>TDSL</v>
          </cell>
          <cell r="H482">
            <v>0.1380201535868916</v>
          </cell>
          <cell r="I482">
            <v>1.8667013618222136E-5</v>
          </cell>
        </row>
        <row r="483">
          <cell r="A483" t="str">
            <v>T_C-ICE-DSL-S3</v>
          </cell>
          <cell r="B483" t="str">
            <v>VAR_ncap</v>
          </cell>
          <cell r="C483" t="str">
            <v>-</v>
          </cell>
        </row>
        <row r="484">
          <cell r="A484" t="str">
            <v>T_C-ICE-DSL-S3</v>
          </cell>
          <cell r="B484" t="str">
            <v>VAR_cap</v>
          </cell>
          <cell r="C484" t="str">
            <v>-</v>
          </cell>
          <cell r="H484">
            <v>5.6155546058912617E-3</v>
          </cell>
          <cell r="I484">
            <v>7.88275323197941E-7</v>
          </cell>
        </row>
        <row r="485">
          <cell r="A485" t="str">
            <v>T_C-ICE-DSL-S4</v>
          </cell>
          <cell r="B485" t="str">
            <v>VAR_fout</v>
          </cell>
          <cell r="C485" t="str">
            <v>CO2_T</v>
          </cell>
          <cell r="H485">
            <v>5.6259975626513281</v>
          </cell>
          <cell r="I485">
            <v>9.7711021380062109E-4</v>
          </cell>
        </row>
        <row r="486">
          <cell r="A486" t="str">
            <v>T_C-ICE-DSL-S4</v>
          </cell>
          <cell r="B486" t="str">
            <v>VAR_fout</v>
          </cell>
          <cell r="C486" t="str">
            <v>TPCAR</v>
          </cell>
          <cell r="H486">
            <v>2.9973463027809386E-2</v>
          </cell>
          <cell r="I486">
            <v>5.6758731856533612E-6</v>
          </cell>
        </row>
        <row r="487">
          <cell r="A487" t="str">
            <v>T_C-ICE-DSL-S4</v>
          </cell>
          <cell r="B487" t="str">
            <v>VAR_fin</v>
          </cell>
          <cell r="C487" t="str">
            <v>TDSL</v>
          </cell>
          <cell r="H487">
            <v>7.6753036325393417E-2</v>
          </cell>
          <cell r="I487">
            <v>1.3330289410649679E-5</v>
          </cell>
        </row>
        <row r="488">
          <cell r="A488" t="str">
            <v>T_C-ICE-DSL-S4</v>
          </cell>
          <cell r="B488" t="str">
            <v>VAR_ncap</v>
          </cell>
          <cell r="C488" t="str">
            <v>-</v>
          </cell>
        </row>
        <row r="489">
          <cell r="A489" t="str">
            <v>T_C-ICE-DSL-S4</v>
          </cell>
          <cell r="B489" t="str">
            <v>VAR_cap</v>
          </cell>
          <cell r="C489" t="str">
            <v>-</v>
          </cell>
          <cell r="H489">
            <v>3.3672921799317761E-3</v>
          </cell>
          <cell r="I489">
            <v>6.1377803557535401E-7</v>
          </cell>
        </row>
        <row r="490">
          <cell r="A490" t="str">
            <v>TFLGV-ICENGAExt</v>
          </cell>
          <cell r="B490" t="str">
            <v>VAR_fout</v>
          </cell>
          <cell r="C490" t="str">
            <v>CO2_T</v>
          </cell>
        </row>
        <row r="491">
          <cell r="A491" t="str">
            <v>TFLGV-ICENGAExt</v>
          </cell>
          <cell r="B491" t="str">
            <v>VAR_fout</v>
          </cell>
          <cell r="C491" t="str">
            <v>TFLGV</v>
          </cell>
        </row>
        <row r="492">
          <cell r="A492" t="str">
            <v>TFLGV-ICENGAExt</v>
          </cell>
          <cell r="B492" t="str">
            <v>VAR_fin</v>
          </cell>
          <cell r="C492" t="str">
            <v>TNGA</v>
          </cell>
        </row>
        <row r="493">
          <cell r="A493" t="str">
            <v>TFLGV-ICENGAExt</v>
          </cell>
          <cell r="B493" t="str">
            <v>VAR_cap</v>
          </cell>
          <cell r="C493" t="str">
            <v>-</v>
          </cell>
        </row>
        <row r="494">
          <cell r="A494" t="str">
            <v>D-TGSL</v>
          </cell>
          <cell r="B494" t="str">
            <v>VAR_fout</v>
          </cell>
          <cell r="C494" t="str">
            <v>CO2</v>
          </cell>
          <cell r="H494">
            <v>1217.7970484775999</v>
          </cell>
          <cell r="I494">
            <v>566.02120823161499</v>
          </cell>
          <cell r="J494">
            <v>12.0479331157728</v>
          </cell>
        </row>
        <row r="495">
          <cell r="A495" t="str">
            <v>D-TGSL</v>
          </cell>
          <cell r="B495" t="str">
            <v>VAR_fout</v>
          </cell>
          <cell r="C495" t="str">
            <v>TGSL</v>
          </cell>
          <cell r="H495">
            <v>18.064210001435391</v>
          </cell>
          <cell r="I495">
            <v>7.9947091861653119</v>
          </cell>
          <cell r="J495">
            <v>1.0723400709424626</v>
          </cell>
        </row>
        <row r="496">
          <cell r="A496" t="str">
            <v>D-TGSL</v>
          </cell>
          <cell r="B496" t="str">
            <v>VAR_fin</v>
          </cell>
          <cell r="C496" t="str">
            <v>GSL</v>
          </cell>
          <cell r="H496">
            <v>16.501315020021647</v>
          </cell>
          <cell r="I496">
            <v>7.6696640681790624</v>
          </cell>
          <cell r="J496">
            <v>0.16325112622998442</v>
          </cell>
        </row>
        <row r="497">
          <cell r="A497" t="str">
            <v>D-TGSL</v>
          </cell>
          <cell r="B497" t="str">
            <v>VAR_fin</v>
          </cell>
          <cell r="C497" t="str">
            <v>ETH</v>
          </cell>
          <cell r="H497">
            <v>1.832328100209824</v>
          </cell>
          <cell r="I497">
            <v>0.44428862576762318</v>
          </cell>
          <cell r="J497">
            <v>0.92508323894858602</v>
          </cell>
        </row>
        <row r="498">
          <cell r="A498" t="str">
            <v>T_TW-BEVELC-S1</v>
          </cell>
          <cell r="B498" t="str">
            <v>VAR_fout</v>
          </cell>
          <cell r="C498" t="str">
            <v>TPTWL</v>
          </cell>
          <cell r="H498">
            <v>1.0022998095693745E-3</v>
          </cell>
          <cell r="I498">
            <v>0.34480169570247982</v>
          </cell>
          <cell r="J498">
            <v>1.6482989626909244</v>
          </cell>
        </row>
        <row r="499">
          <cell r="A499" t="str">
            <v>T_TW-BEVELC-S1</v>
          </cell>
          <cell r="B499" t="str">
            <v>VAR_fin</v>
          </cell>
          <cell r="C499" t="str">
            <v>T-ELC-TWSTGout_S1</v>
          </cell>
          <cell r="H499">
            <v>8.7234408018213493E-5</v>
          </cell>
          <cell r="I499">
            <v>2.9601212329085538E-2</v>
          </cell>
          <cell r="J499">
            <v>0.1385918633744832</v>
          </cell>
        </row>
        <row r="500">
          <cell r="A500" t="str">
            <v>T_TW-BEVELC-S1</v>
          </cell>
          <cell r="B500" t="str">
            <v>VAR_ncap</v>
          </cell>
          <cell r="C500" t="str">
            <v>-</v>
          </cell>
          <cell r="H500">
            <v>2.9349096124133998E-4</v>
          </cell>
          <cell r="I500">
            <v>0.11837787543242299</v>
          </cell>
          <cell r="J500">
            <v>0.60697810578456401</v>
          </cell>
        </row>
        <row r="501">
          <cell r="A501" t="str">
            <v>T_TW-BEVELC-S1</v>
          </cell>
          <cell r="B501" t="str">
            <v>VAR_cap</v>
          </cell>
          <cell r="C501" t="str">
            <v>-</v>
          </cell>
          <cell r="H501">
            <v>3.5059821137268057E-4</v>
          </cell>
          <cell r="I501">
            <v>0.11867892073912849</v>
          </cell>
          <cell r="J501">
            <v>0.66639672526253269</v>
          </cell>
        </row>
        <row r="502">
          <cell r="A502" t="str">
            <v>T_TW-BEVELC-S2</v>
          </cell>
          <cell r="B502" t="str">
            <v>VAR_fout</v>
          </cell>
          <cell r="C502" t="str">
            <v>TPTWL</v>
          </cell>
          <cell r="H502">
            <v>2.3057737546118949E-4</v>
          </cell>
          <cell r="I502">
            <v>1.725074044067755E-4</v>
          </cell>
          <cell r="J502">
            <v>1.1105432443823721E-4</v>
          </cell>
        </row>
        <row r="503">
          <cell r="A503" t="str">
            <v>T_TW-BEVELC-S2</v>
          </cell>
          <cell r="B503" t="str">
            <v>VAR_fin</v>
          </cell>
          <cell r="C503" t="str">
            <v>T-ELC-TWSTGout_S2</v>
          </cell>
          <cell r="H503">
            <v>3.5971063337340206E-5</v>
          </cell>
          <cell r="I503">
            <v>2.6352068162568449E-5</v>
          </cell>
          <cell r="J503">
            <v>1.6745609725522506E-5</v>
          </cell>
        </row>
        <row r="504">
          <cell r="A504" t="str">
            <v>T_TW-BEVELC-S2</v>
          </cell>
          <cell r="B504" t="str">
            <v>VAR_ncap</v>
          </cell>
          <cell r="C504" t="str">
            <v>-</v>
          </cell>
          <cell r="H504">
            <v>3.2343420807337203E-5</v>
          </cell>
          <cell r="I504">
            <v>2.5924708473784201E-5</v>
          </cell>
          <cell r="J504">
            <v>1.5959578823916E-5</v>
          </cell>
        </row>
        <row r="505">
          <cell r="A505" t="str">
            <v>T_TW-BEVELC-S2</v>
          </cell>
          <cell r="B505" t="str">
            <v>VAR_cap</v>
          </cell>
          <cell r="C505" t="str">
            <v>-</v>
          </cell>
          <cell r="H505">
            <v>8.6383533048681397E-5</v>
          </cell>
          <cell r="I505">
            <v>6.4341700201782189E-5</v>
          </cell>
          <cell r="J505">
            <v>4.3955171155202507E-5</v>
          </cell>
        </row>
        <row r="506">
          <cell r="A506" t="str">
            <v>TFRLFH2OFCL</v>
          </cell>
          <cell r="B506" t="str">
            <v>VAR_ncap</v>
          </cell>
          <cell r="C506" t="str">
            <v>-</v>
          </cell>
          <cell r="I506">
            <v>1.3807761638857299E-8</v>
          </cell>
        </row>
        <row r="507">
          <cell r="A507" t="str">
            <v>TFRLFH2OFCL</v>
          </cell>
          <cell r="B507" t="str">
            <v>VAR_cap</v>
          </cell>
          <cell r="C507" t="str">
            <v>-</v>
          </cell>
          <cell r="I507">
            <v>1.3807761638857299E-8</v>
          </cell>
          <cell r="J507">
            <v>1.3807761638857299E-8</v>
          </cell>
        </row>
        <row r="508">
          <cell r="A508" t="str">
            <v>T_TW-BEVELC-S3</v>
          </cell>
          <cell r="B508" t="str">
            <v>VAR_fout</v>
          </cell>
          <cell r="C508" t="str">
            <v>TPTWL</v>
          </cell>
          <cell r="H508">
            <v>5.1986968844564354E-4</v>
          </cell>
          <cell r="I508">
            <v>2.412200989749454E-4</v>
          </cell>
          <cell r="J508">
            <v>5.611254233871822E-5</v>
          </cell>
        </row>
        <row r="509">
          <cell r="A509" t="str">
            <v>T_TW-BEVELC-S3</v>
          </cell>
          <cell r="B509" t="str">
            <v>VAR_fin</v>
          </cell>
          <cell r="C509" t="str">
            <v>T-ELC-TWSTGout_S3</v>
          </cell>
          <cell r="H509">
            <v>1.2658707274069663E-4</v>
          </cell>
          <cell r="I509">
            <v>5.8270860895760065E-5</v>
          </cell>
          <cell r="J509">
            <v>1.2929850078818313E-5</v>
          </cell>
        </row>
        <row r="510">
          <cell r="A510" t="str">
            <v>T_TW-BEVELC-S3</v>
          </cell>
          <cell r="B510" t="str">
            <v>VAR_ncap</v>
          </cell>
          <cell r="C510" t="str">
            <v>-</v>
          </cell>
          <cell r="H510">
            <v>7.8689292336950903E-6</v>
          </cell>
          <cell r="I510">
            <v>7.4795806186961003E-6</v>
          </cell>
          <cell r="J510">
            <v>7.2116878323670302E-6</v>
          </cell>
        </row>
        <row r="511">
          <cell r="A511" t="str">
            <v>T_TW-BEVELC-S3</v>
          </cell>
          <cell r="B511" t="str">
            <v>VAR_cap</v>
          </cell>
          <cell r="C511" t="str">
            <v>-</v>
          </cell>
          <cell r="H511">
            <v>1.9064797244059686E-4</v>
          </cell>
          <cell r="I511">
            <v>9.1733494424861876E-5</v>
          </cell>
          <cell r="J511">
            <v>2.2564227763708501E-5</v>
          </cell>
        </row>
        <row r="512">
          <cell r="A512" t="str">
            <v>T_TW-BEVELC-S4</v>
          </cell>
          <cell r="B512" t="str">
            <v>VAR_fout</v>
          </cell>
          <cell r="C512" t="str">
            <v>TPTWL</v>
          </cell>
          <cell r="H512">
            <v>1.4201003897565062E-4</v>
          </cell>
          <cell r="I512">
            <v>1.6038165779079104E-4</v>
          </cell>
          <cell r="J512">
            <v>8.2753755510154992E-5</v>
          </cell>
        </row>
        <row r="513">
          <cell r="A513" t="str">
            <v>T_TW-BEVELC-S4</v>
          </cell>
          <cell r="B513" t="str">
            <v>VAR_fin</v>
          </cell>
          <cell r="C513" t="str">
            <v>T-ELC-TWSTGout_S4</v>
          </cell>
          <cell r="H513">
            <v>3.7225418184970285E-5</v>
          </cell>
          <cell r="I513">
            <v>4.1775053154664514E-5</v>
          </cell>
          <cell r="J513">
            <v>2.0864202059821737E-5</v>
          </cell>
        </row>
        <row r="514">
          <cell r="A514" t="str">
            <v>T_TW-BEVELC-S4</v>
          </cell>
          <cell r="B514" t="str">
            <v>VAR_ncap</v>
          </cell>
          <cell r="C514" t="str">
            <v>-</v>
          </cell>
          <cell r="H514">
            <v>7.6448848203306908E-6</v>
          </cell>
          <cell r="I514">
            <v>7.9794102948316107E-6</v>
          </cell>
          <cell r="J514">
            <v>7.7157995087545007E-6</v>
          </cell>
        </row>
        <row r="515">
          <cell r="A515" t="str">
            <v>T_TW-BEVELC-S4</v>
          </cell>
          <cell r="B515" t="str">
            <v>VAR_cap</v>
          </cell>
          <cell r="C515" t="str">
            <v>-</v>
          </cell>
          <cell r="H515">
            <v>5.5439131279726804E-5</v>
          </cell>
          <cell r="I515">
            <v>6.2788427944698798E-5</v>
          </cell>
          <cell r="J515">
            <v>3.3817828501770714E-5</v>
          </cell>
        </row>
        <row r="516">
          <cell r="A516" t="str">
            <v>T_B_u-BeVELCEXT</v>
          </cell>
          <cell r="B516" t="str">
            <v>VAR_fout</v>
          </cell>
          <cell r="C516" t="str">
            <v>TPBSu</v>
          </cell>
        </row>
        <row r="517">
          <cell r="A517" t="str">
            <v>T_B_u-BeVELCEXT</v>
          </cell>
          <cell r="B517" t="str">
            <v>VAR_fin</v>
          </cell>
          <cell r="C517" t="str">
            <v>TELC</v>
          </cell>
        </row>
        <row r="518">
          <cell r="A518" t="str">
            <v>T_B_u-BeVELCEXT</v>
          </cell>
          <cell r="B518" t="str">
            <v>VAR_cap</v>
          </cell>
          <cell r="C518" t="str">
            <v>-</v>
          </cell>
        </row>
        <row r="519">
          <cell r="A519" t="str">
            <v>T_B_u-HYBDSL-S1</v>
          </cell>
          <cell r="B519" t="str">
            <v>VAR_fout</v>
          </cell>
          <cell r="C519" t="str">
            <v>CO2_T</v>
          </cell>
        </row>
        <row r="520">
          <cell r="A520" t="str">
            <v>T_B_u-HYBDSL-S1</v>
          </cell>
          <cell r="B520" t="str">
            <v>VAR_fout</v>
          </cell>
          <cell r="C520" t="str">
            <v>TPBSu</v>
          </cell>
        </row>
        <row r="521">
          <cell r="A521" t="str">
            <v>T_B_u-HYBDSL-S1</v>
          </cell>
          <cell r="B521" t="str">
            <v>VAR_fin</v>
          </cell>
          <cell r="C521" t="str">
            <v>TDSL</v>
          </cell>
        </row>
        <row r="522">
          <cell r="A522" t="str">
            <v>T_B_u-HYBDSL-S1</v>
          </cell>
          <cell r="B522" t="str">
            <v>VAR_ncap</v>
          </cell>
          <cell r="C522" t="str">
            <v>-</v>
          </cell>
        </row>
        <row r="523">
          <cell r="A523" t="str">
            <v>T_B_u-HYBDSL-S1</v>
          </cell>
          <cell r="B523" t="str">
            <v>VAR_cap</v>
          </cell>
          <cell r="C523" t="str">
            <v>-</v>
          </cell>
          <cell r="H523">
            <v>1.0225583340697481E-10</v>
          </cell>
        </row>
        <row r="524">
          <cell r="A524" t="str">
            <v>T_B_u-HYBDSL-S2</v>
          </cell>
          <cell r="B524" t="str">
            <v>VAR_fout</v>
          </cell>
          <cell r="C524" t="str">
            <v>CO2_T</v>
          </cell>
        </row>
        <row r="525">
          <cell r="A525" t="str">
            <v>T_B_u-HYBDSL-S2</v>
          </cell>
          <cell r="B525" t="str">
            <v>VAR_fout</v>
          </cell>
          <cell r="C525" t="str">
            <v>TPBSu</v>
          </cell>
        </row>
        <row r="526">
          <cell r="A526" t="str">
            <v>T_B_u-HYBDSL-S2</v>
          </cell>
          <cell r="B526" t="str">
            <v>VAR_fin</v>
          </cell>
          <cell r="C526" t="str">
            <v>TDSL</v>
          </cell>
        </row>
        <row r="527">
          <cell r="A527" t="str">
            <v>T_B_u-HYBDSL-S2</v>
          </cell>
          <cell r="B527" t="str">
            <v>VAR_ncap</v>
          </cell>
          <cell r="C527" t="str">
            <v>-</v>
          </cell>
        </row>
        <row r="528">
          <cell r="A528" t="str">
            <v>T_B_u-HYBDSL-S2</v>
          </cell>
          <cell r="B528" t="str">
            <v>VAR_cap</v>
          </cell>
          <cell r="C528" t="str">
            <v>-</v>
          </cell>
          <cell r="H528">
            <v>4.1725463969301091E-11</v>
          </cell>
        </row>
        <row r="529">
          <cell r="A529" t="str">
            <v>T_B_u-HYBDSL-S3</v>
          </cell>
          <cell r="B529" t="str">
            <v>VAR_fout</v>
          </cell>
          <cell r="C529" t="str">
            <v>CO2_T</v>
          </cell>
        </row>
        <row r="530">
          <cell r="A530" t="str">
            <v>T_B_u-HYBDSL-S3</v>
          </cell>
          <cell r="B530" t="str">
            <v>VAR_fout</v>
          </cell>
          <cell r="C530" t="str">
            <v>TPBSu</v>
          </cell>
        </row>
        <row r="531">
          <cell r="A531" t="str">
            <v>T_B_u-HYBDSL-S3</v>
          </cell>
          <cell r="B531" t="str">
            <v>VAR_fin</v>
          </cell>
          <cell r="C531" t="str">
            <v>TDSL</v>
          </cell>
        </row>
        <row r="532">
          <cell r="A532" t="str">
            <v>T_B_u-HYBDSL-S3</v>
          </cell>
          <cell r="B532" t="str">
            <v>VAR_ncap</v>
          </cell>
          <cell r="C532" t="str">
            <v>-</v>
          </cell>
        </row>
        <row r="533">
          <cell r="A533" t="str">
            <v>T_B_u-HYBDSL-S3</v>
          </cell>
          <cell r="B533" t="str">
            <v>VAR_cap</v>
          </cell>
          <cell r="C533" t="str">
            <v>-</v>
          </cell>
        </row>
        <row r="534">
          <cell r="A534" t="str">
            <v>T_C-HY-GSL-S1</v>
          </cell>
          <cell r="B534" t="str">
            <v>VAR_fout</v>
          </cell>
          <cell r="C534" t="str">
            <v>CO2_T</v>
          </cell>
          <cell r="H534">
            <v>0.17519859273714852</v>
          </cell>
          <cell r="I534">
            <v>2.6411553185379671E-2</v>
          </cell>
        </row>
        <row r="535">
          <cell r="A535" t="str">
            <v>T_C-HY-GSL-S1</v>
          </cell>
          <cell r="B535" t="str">
            <v>VAR_fout</v>
          </cell>
          <cell r="C535" t="str">
            <v>TPCAR</v>
          </cell>
          <cell r="H535">
            <v>2.9310777803412684E-3</v>
          </cell>
          <cell r="I535">
            <v>3.1669709939988286E-4</v>
          </cell>
        </row>
        <row r="536">
          <cell r="A536" t="str">
            <v>T_C-HY-GSL-S1</v>
          </cell>
          <cell r="B536" t="str">
            <v>VAR_fin</v>
          </cell>
          <cell r="C536" t="str">
            <v>TGSL</v>
          </cell>
          <cell r="H536">
            <v>2.373964671235075E-3</v>
          </cell>
          <cell r="I536">
            <v>3.5788012446313921E-4</v>
          </cell>
        </row>
        <row r="537">
          <cell r="A537" t="str">
            <v>T_C-HY-GSL-S1</v>
          </cell>
          <cell r="B537" t="str">
            <v>VAR_ncap</v>
          </cell>
          <cell r="C537" t="str">
            <v>-</v>
          </cell>
        </row>
        <row r="538">
          <cell r="A538" t="str">
            <v>T_C-HY-GSL-S1</v>
          </cell>
          <cell r="B538" t="str">
            <v>VAR_cap</v>
          </cell>
          <cell r="C538" t="str">
            <v>-</v>
          </cell>
          <cell r="H538">
            <v>4.4413192212329071E-4</v>
          </cell>
          <cell r="I538">
            <v>4.7921089459569917E-5</v>
          </cell>
        </row>
        <row r="539">
          <cell r="A539" t="str">
            <v>TFRLFDSLEXT</v>
          </cell>
          <cell r="B539" t="str">
            <v>VAR_fout</v>
          </cell>
          <cell r="C539" t="str">
            <v>CO2_T</v>
          </cell>
        </row>
        <row r="540">
          <cell r="A540" t="str">
            <v>TFRLFDSLEXT</v>
          </cell>
          <cell r="B540" t="str">
            <v>VAR_fout</v>
          </cell>
          <cell r="C540" t="str">
            <v>TFRLF</v>
          </cell>
        </row>
        <row r="541">
          <cell r="A541" t="str">
            <v>TFRLFDSLEXT</v>
          </cell>
          <cell r="B541" t="str">
            <v>VAR_fin</v>
          </cell>
          <cell r="C541" t="str">
            <v>TDSL</v>
          </cell>
        </row>
        <row r="542">
          <cell r="A542" t="str">
            <v>TFRLFDSLEXT</v>
          </cell>
          <cell r="B542" t="str">
            <v>VAR_ncap</v>
          </cell>
          <cell r="C542" t="str">
            <v>-</v>
          </cell>
        </row>
        <row r="543">
          <cell r="A543" t="str">
            <v>TFRLFDSLEXT</v>
          </cell>
          <cell r="B543" t="str">
            <v>VAR_cap</v>
          </cell>
          <cell r="C543" t="str">
            <v>-</v>
          </cell>
          <cell r="H543">
            <v>2.4059050182006006E-8</v>
          </cell>
          <cell r="I543">
            <v>2.3915389247999939E-8</v>
          </cell>
          <cell r="J543">
            <v>1.0940489612995194E-8</v>
          </cell>
        </row>
        <row r="544">
          <cell r="A544" t="str">
            <v>T_C-HY-GSL-S2</v>
          </cell>
          <cell r="B544" t="str">
            <v>VAR_fout</v>
          </cell>
          <cell r="C544" t="str">
            <v>CO2_T</v>
          </cell>
          <cell r="H544">
            <v>30.018902735177182</v>
          </cell>
          <cell r="I544">
            <v>2.8378628103415866</v>
          </cell>
        </row>
        <row r="545">
          <cell r="A545" t="str">
            <v>T_C-HY-GSL-S2</v>
          </cell>
          <cell r="B545" t="str">
            <v>VAR_fout</v>
          </cell>
          <cell r="C545" t="str">
            <v>TPCAR</v>
          </cell>
          <cell r="H545">
            <v>0.77013754224679554</v>
          </cell>
          <cell r="I545">
            <v>7.1454395043818952E-2</v>
          </cell>
        </row>
        <row r="546">
          <cell r="A546" t="str">
            <v>T_C-HY-GSL-S2</v>
          </cell>
          <cell r="B546" t="str">
            <v>VAR_fin</v>
          </cell>
          <cell r="C546" t="str">
            <v>TGSL</v>
          </cell>
          <cell r="H546">
            <v>0.40676019966364674</v>
          </cell>
          <cell r="I546">
            <v>3.8453425614384654E-2</v>
          </cell>
        </row>
        <row r="547">
          <cell r="A547" t="str">
            <v>T_C-HY-GSL-S2</v>
          </cell>
          <cell r="B547" t="str">
            <v>VAR_ncap</v>
          </cell>
          <cell r="C547" t="str">
            <v>-</v>
          </cell>
        </row>
        <row r="548">
          <cell r="A548" t="str">
            <v>T_C-HY-GSL-S2</v>
          </cell>
          <cell r="B548" t="str">
            <v>VAR_cap</v>
          </cell>
          <cell r="C548" t="str">
            <v>-</v>
          </cell>
          <cell r="H548">
            <v>5.9668227997059807E-2</v>
          </cell>
          <cell r="I548">
            <v>7.5340850191500993E-3</v>
          </cell>
        </row>
        <row r="549">
          <cell r="A549" t="str">
            <v>TPSHPNGAEXT</v>
          </cell>
          <cell r="B549" t="str">
            <v>VAR_ncap</v>
          </cell>
          <cell r="C549" t="str">
            <v>-</v>
          </cell>
          <cell r="H549">
            <v>1.35799639083651E-6</v>
          </cell>
          <cell r="I549">
            <v>2.3348973419673601E-3</v>
          </cell>
          <cell r="J549">
            <v>1.8201635851533501E-7</v>
          </cell>
        </row>
        <row r="550">
          <cell r="A550" t="str">
            <v>TPSHPNGAEXT</v>
          </cell>
          <cell r="B550" t="str">
            <v>VAR_cap</v>
          </cell>
          <cell r="C550" t="str">
            <v>-</v>
          </cell>
          <cell r="H550">
            <v>2.1880637820828267E-6</v>
          </cell>
          <cell r="I550">
            <v>2.3366973820054156E-3</v>
          </cell>
          <cell r="J550">
            <v>1.6305033261711016E-4</v>
          </cell>
        </row>
        <row r="551">
          <cell r="A551" t="str">
            <v>T_C-HY-DSL-S1</v>
          </cell>
          <cell r="B551" t="str">
            <v>VAR_fout</v>
          </cell>
          <cell r="C551" t="str">
            <v>CO2_T</v>
          </cell>
          <cell r="H551">
            <v>2.4740217244718417</v>
          </cell>
          <cell r="I551">
            <v>2.5282141201806657E-3</v>
          </cell>
        </row>
        <row r="552">
          <cell r="A552" t="str">
            <v>T_C-HY-DSL-S1</v>
          </cell>
          <cell r="B552" t="str">
            <v>VAR_fout</v>
          </cell>
          <cell r="C552" t="str">
            <v>TPCAR</v>
          </cell>
          <cell r="H552">
            <v>5.7244915595194255E-2</v>
          </cell>
          <cell r="I552">
            <v>3.3210731047180306E-5</v>
          </cell>
        </row>
        <row r="553">
          <cell r="A553" t="str">
            <v>T_C-HY-DSL-S1</v>
          </cell>
          <cell r="B553" t="str">
            <v>VAR_fin</v>
          </cell>
          <cell r="C553" t="str">
            <v>TDSL</v>
          </cell>
          <cell r="H553">
            <v>3.3752001698115201E-2</v>
          </cell>
          <cell r="I553">
            <v>3.4491324968358313E-5</v>
          </cell>
        </row>
        <row r="554">
          <cell r="A554" t="str">
            <v>T_C-HY-DSL-S1</v>
          </cell>
          <cell r="B554" t="str">
            <v>VAR_ncap</v>
          </cell>
          <cell r="C554" t="str">
            <v>-</v>
          </cell>
        </row>
        <row r="555">
          <cell r="A555" t="str">
            <v>T_C-HY-DSL-S1</v>
          </cell>
          <cell r="B555" t="str">
            <v>VAR_cap</v>
          </cell>
          <cell r="C555" t="str">
            <v>-</v>
          </cell>
          <cell r="H555">
            <v>8.6989953701737312E-3</v>
          </cell>
          <cell r="I555">
            <v>4.8443906338809845E-6</v>
          </cell>
        </row>
        <row r="556">
          <cell r="A556" t="str">
            <v>T_C-HY-GSL-S3</v>
          </cell>
          <cell r="B556" t="str">
            <v>VAR_fout</v>
          </cell>
          <cell r="C556" t="str">
            <v>CO2_T</v>
          </cell>
          <cell r="H556">
            <v>22.036887218682455</v>
          </cell>
          <cell r="I556">
            <v>1.159340085356589E-3</v>
          </cell>
        </row>
        <row r="557">
          <cell r="A557" t="str">
            <v>T_C-HY-GSL-S3</v>
          </cell>
          <cell r="B557" t="str">
            <v>VAR_fout</v>
          </cell>
          <cell r="C557" t="str">
            <v>TPCAR</v>
          </cell>
          <cell r="H557">
            <v>0.76114435136268244</v>
          </cell>
          <cell r="I557">
            <v>1.4023403177602753E-5</v>
          </cell>
        </row>
        <row r="558">
          <cell r="A558" t="str">
            <v>T_C-HY-GSL-S3</v>
          </cell>
          <cell r="B558" t="str">
            <v>VAR_fin</v>
          </cell>
          <cell r="C558" t="str">
            <v>TGSL</v>
          </cell>
          <cell r="H558">
            <v>0.29860280784122667</v>
          </cell>
          <cell r="I558">
            <v>1.5709215248734277E-5</v>
          </cell>
        </row>
        <row r="559">
          <cell r="A559" t="str">
            <v>T_C-HY-GSL-S3</v>
          </cell>
          <cell r="B559" t="str">
            <v>VAR_ncap</v>
          </cell>
          <cell r="C559" t="str">
            <v>-</v>
          </cell>
        </row>
        <row r="560">
          <cell r="A560" t="str">
            <v>T_C-HY-GSL-S3</v>
          </cell>
          <cell r="B560" t="str">
            <v>VAR_cap</v>
          </cell>
          <cell r="C560" t="str">
            <v>-</v>
          </cell>
          <cell r="H560">
            <v>5.2335912308665439E-2</v>
          </cell>
          <cell r="I560">
            <v>1.13947948101847E-6</v>
          </cell>
        </row>
        <row r="561">
          <cell r="A561" t="str">
            <v>T_C-HY-DSL-S2</v>
          </cell>
          <cell r="B561" t="str">
            <v>VAR_fout</v>
          </cell>
          <cell r="C561" t="str">
            <v>CO2_T</v>
          </cell>
          <cell r="H561">
            <v>40.759543552344482</v>
          </cell>
          <cell r="I561">
            <v>2.7150150697950468</v>
          </cell>
        </row>
        <row r="562">
          <cell r="A562" t="str">
            <v>T_C-HY-DSL-S2</v>
          </cell>
          <cell r="B562" t="str">
            <v>VAR_fout</v>
          </cell>
          <cell r="C562" t="str">
            <v>TPCAR</v>
          </cell>
          <cell r="H562">
            <v>1.2142463693426711</v>
          </cell>
          <cell r="I562">
            <v>7.2320732171760618E-2</v>
          </cell>
        </row>
        <row r="563">
          <cell r="A563" t="str">
            <v>T_C-HY-DSL-S2</v>
          </cell>
          <cell r="B563" t="str">
            <v>VAR_fin</v>
          </cell>
          <cell r="C563" t="str">
            <v>TDSL</v>
          </cell>
          <cell r="H563">
            <v>0.55606471422025172</v>
          </cell>
          <cell r="I563">
            <v>3.7039769028581866E-2</v>
          </cell>
        </row>
        <row r="564">
          <cell r="A564" t="str">
            <v>T_C-HY-DSL-S2</v>
          </cell>
          <cell r="B564" t="str">
            <v>VAR_ncap</v>
          </cell>
          <cell r="C564" t="str">
            <v>-</v>
          </cell>
        </row>
        <row r="565">
          <cell r="A565" t="str">
            <v>T_C-HY-DSL-S2</v>
          </cell>
          <cell r="B565" t="str">
            <v>VAR_cap</v>
          </cell>
          <cell r="C565" t="str">
            <v>-</v>
          </cell>
          <cell r="H565">
            <v>9.2134779376173342E-2</v>
          </cell>
          <cell r="I565">
            <v>7.6258787175350435E-3</v>
          </cell>
        </row>
        <row r="566">
          <cell r="A566" t="str">
            <v>D-T-ELC-Bus_c_S1</v>
          </cell>
          <cell r="B566" t="str">
            <v>VAR_fout</v>
          </cell>
          <cell r="C566" t="str">
            <v>T-ELC-Bus_c_BatSTGin_S1</v>
          </cell>
          <cell r="H566">
            <v>0.13808872557592353</v>
          </cell>
          <cell r="I566">
            <v>0.13743755212270092</v>
          </cell>
          <cell r="J566">
            <v>0.11950234221687606</v>
          </cell>
        </row>
        <row r="567">
          <cell r="A567" t="str">
            <v>D-T-ELC-Bus_c_S1</v>
          </cell>
          <cell r="B567" t="str">
            <v>VAR_fin</v>
          </cell>
          <cell r="C567" t="str">
            <v>TELC</v>
          </cell>
          <cell r="H567">
            <v>0.13808872557592353</v>
          </cell>
          <cell r="I567">
            <v>0.13743755212270092</v>
          </cell>
          <cell r="J567">
            <v>0.11950234221687606</v>
          </cell>
        </row>
        <row r="568">
          <cell r="A568" t="str">
            <v>D-T-ELC-Bus_c_S1</v>
          </cell>
          <cell r="B568" t="str">
            <v>VAR_ncap</v>
          </cell>
          <cell r="C568" t="str">
            <v>-</v>
          </cell>
          <cell r="H568">
            <v>1.45170314654845E-2</v>
          </cell>
          <cell r="I568">
            <v>2.40704474977673E-3</v>
          </cell>
          <cell r="J568">
            <v>1.14548961437785E-2</v>
          </cell>
        </row>
        <row r="569">
          <cell r="A569" t="str">
            <v>D-T-ELC-Bus_c_S1</v>
          </cell>
          <cell r="B569" t="str">
            <v>VAR_cap</v>
          </cell>
          <cell r="C569" t="str">
            <v>-</v>
          </cell>
          <cell r="H569">
            <v>1.7477229352539599E-2</v>
          </cell>
          <cell r="I569">
            <v>1.7447700009766198E-2</v>
          </cell>
          <cell r="J569">
            <v>1.52096158743444E-2</v>
          </cell>
        </row>
        <row r="570">
          <cell r="A570" t="str">
            <v>T_C-HY-GSL-S4</v>
          </cell>
          <cell r="B570" t="str">
            <v>VAR_fout</v>
          </cell>
          <cell r="C570" t="str">
            <v>CO2_T</v>
          </cell>
          <cell r="H570">
            <v>1.1465534457099478</v>
          </cell>
          <cell r="I570">
            <v>1.312911014681079E-3</v>
          </cell>
        </row>
        <row r="571">
          <cell r="A571" t="str">
            <v>T_C-HY-GSL-S4</v>
          </cell>
          <cell r="B571" t="str">
            <v>VAR_fout</v>
          </cell>
          <cell r="C571" t="str">
            <v>TPCAR</v>
          </cell>
          <cell r="H571">
            <v>2.4982338975259994E-2</v>
          </cell>
          <cell r="I571">
            <v>1.3436774073486006E-5</v>
          </cell>
        </row>
        <row r="572">
          <cell r="A572" t="str">
            <v>T_C-HY-GSL-S4</v>
          </cell>
          <cell r="B572" t="str">
            <v>VAR_fin</v>
          </cell>
          <cell r="C572" t="str">
            <v>TGSL</v>
          </cell>
          <cell r="H572">
            <v>1.5535954548915281E-2</v>
          </cell>
          <cell r="I572">
            <v>1.779012215015013E-5</v>
          </cell>
        </row>
        <row r="573">
          <cell r="A573" t="str">
            <v>T_C-HY-GSL-S4</v>
          </cell>
          <cell r="B573" t="str">
            <v>VAR_ncap</v>
          </cell>
          <cell r="C573" t="str">
            <v>-</v>
          </cell>
        </row>
        <row r="574">
          <cell r="A574" t="str">
            <v>T_C-HY-GSL-S4</v>
          </cell>
          <cell r="B574" t="str">
            <v>VAR_cap</v>
          </cell>
          <cell r="C574" t="str">
            <v>-</v>
          </cell>
          <cell r="H574">
            <v>1.971027301756753E-3</v>
          </cell>
          <cell r="I574">
            <v>1.2925392790762399E-6</v>
          </cell>
        </row>
        <row r="575">
          <cell r="A575" t="str">
            <v>T_C-HY-DSL-S3</v>
          </cell>
          <cell r="B575" t="str">
            <v>VAR_fout</v>
          </cell>
          <cell r="C575" t="str">
            <v>CO2_T</v>
          </cell>
          <cell r="H575">
            <v>0.44169701636202308</v>
          </cell>
          <cell r="I575">
            <v>9.8033837648979407E-4</v>
          </cell>
        </row>
        <row r="576">
          <cell r="A576" t="str">
            <v>T_C-HY-DSL-S3</v>
          </cell>
          <cell r="B576" t="str">
            <v>VAR_fout</v>
          </cell>
          <cell r="C576" t="str">
            <v>TPCAR</v>
          </cell>
          <cell r="H576">
            <v>8.912944044151461E-3</v>
          </cell>
          <cell r="I576">
            <v>1.0745198163319959E-5</v>
          </cell>
        </row>
        <row r="577">
          <cell r="A577" t="str">
            <v>T_C-HY-DSL-S3</v>
          </cell>
          <cell r="B577" t="str">
            <v>VAR_fin</v>
          </cell>
          <cell r="C577" t="str">
            <v>TDSL</v>
          </cell>
          <cell r="H577">
            <v>6.0258801686496897E-3</v>
          </cell>
          <cell r="I577">
            <v>1.3374329829328706E-5</v>
          </cell>
        </row>
        <row r="578">
          <cell r="A578" t="str">
            <v>T_C-HY-DSL-S3</v>
          </cell>
          <cell r="B578" t="str">
            <v>VAR_ncap</v>
          </cell>
          <cell r="C578" t="str">
            <v>-</v>
          </cell>
        </row>
        <row r="579">
          <cell r="A579" t="str">
            <v>T_C-HY-DSL-S3</v>
          </cell>
          <cell r="B579" t="str">
            <v>VAR_cap</v>
          </cell>
          <cell r="C579" t="str">
            <v>-</v>
          </cell>
          <cell r="H579">
            <v>6.1440070269086998E-4</v>
          </cell>
          <cell r="I579">
            <v>9.0316816398519695E-7</v>
          </cell>
        </row>
        <row r="580">
          <cell r="A580" t="str">
            <v>D-T-ELC-Bus_c_S2</v>
          </cell>
          <cell r="B580" t="str">
            <v>VAR_fout</v>
          </cell>
          <cell r="C580" t="str">
            <v>T-ELC-Bus_c_BatSTGin_S2</v>
          </cell>
          <cell r="H580">
            <v>9.2380646145093739E-2</v>
          </cell>
          <cell r="I580">
            <v>0.15221318923467728</v>
          </cell>
          <cell r="J580">
            <v>0.14754130129330681</v>
          </cell>
        </row>
        <row r="581">
          <cell r="A581" t="str">
            <v>D-T-ELC-Bus_c_S2</v>
          </cell>
          <cell r="B581" t="str">
            <v>VAR_fin</v>
          </cell>
          <cell r="C581" t="str">
            <v>TELC</v>
          </cell>
          <cell r="H581">
            <v>9.2380646145093739E-2</v>
          </cell>
          <cell r="I581">
            <v>0.15221318923467728</v>
          </cell>
          <cell r="J581">
            <v>0.14754130129330681</v>
          </cell>
        </row>
        <row r="582">
          <cell r="A582" t="str">
            <v>D-T-ELC-Bus_c_S2</v>
          </cell>
          <cell r="B582" t="str">
            <v>VAR_ncap</v>
          </cell>
          <cell r="C582" t="str">
            <v>-</v>
          </cell>
          <cell r="H582">
            <v>1.1633747637264699E-2</v>
          </cell>
          <cell r="I582">
            <v>7.6899446962382101E-3</v>
          </cell>
          <cell r="J582">
            <v>1.28847650661786E-2</v>
          </cell>
        </row>
        <row r="583">
          <cell r="A583" t="str">
            <v>D-T-ELC-Bus_c_S2</v>
          </cell>
          <cell r="B583" t="str">
            <v>VAR_cap</v>
          </cell>
          <cell r="C583" t="str">
            <v>-</v>
          </cell>
          <cell r="H583">
            <v>1.16566916785574E-2</v>
          </cell>
          <cell r="I583">
            <v>1.9327307702928401E-2</v>
          </cell>
          <cell r="J583">
            <v>1.8782903519164298E-2</v>
          </cell>
        </row>
        <row r="584">
          <cell r="A584" t="str">
            <v>T_C-HY-DSL-S4</v>
          </cell>
          <cell r="B584" t="str">
            <v>VAR_fout</v>
          </cell>
          <cell r="C584" t="str">
            <v>CO2_T</v>
          </cell>
          <cell r="H584">
            <v>0.89817139865531503</v>
          </cell>
          <cell r="I584">
            <v>1.082043353958252E-3</v>
          </cell>
        </row>
        <row r="585">
          <cell r="A585" t="str">
            <v>T_C-HY-DSL-S4</v>
          </cell>
          <cell r="B585" t="str">
            <v>VAR_fout</v>
          </cell>
          <cell r="C585" t="str">
            <v>TPCAR</v>
          </cell>
          <cell r="H585">
            <v>1.9453535766352847E-2</v>
          </cell>
          <cell r="I585">
            <v>1.1468025505599065E-5</v>
          </cell>
        </row>
        <row r="586">
          <cell r="A586" t="str">
            <v>T_C-HY-DSL-S4</v>
          </cell>
          <cell r="B586" t="str">
            <v>VAR_fin</v>
          </cell>
          <cell r="C586" t="str">
            <v>TDSL</v>
          </cell>
          <cell r="H586">
            <v>1.2253361509622321E-2</v>
          </cell>
          <cell r="I586">
            <v>1.4761846575146681E-5</v>
          </cell>
        </row>
        <row r="587">
          <cell r="A587" t="str">
            <v>T_C-HY-DSL-S4</v>
          </cell>
          <cell r="B587" t="str">
            <v>VAR_ncap</v>
          </cell>
          <cell r="C587" t="str">
            <v>-</v>
          </cell>
        </row>
        <row r="588">
          <cell r="A588" t="str">
            <v>T_C-HY-DSL-S4</v>
          </cell>
          <cell r="B588" t="str">
            <v>VAR_cap</v>
          </cell>
          <cell r="C588" t="str">
            <v>-</v>
          </cell>
          <cell r="H588">
            <v>1.5360151649409968E-3</v>
          </cell>
          <cell r="I588">
            <v>1.1161650366951199E-6</v>
          </cell>
        </row>
        <row r="589">
          <cell r="A589" t="str">
            <v>D-T-ELC-Bus_c_S3</v>
          </cell>
          <cell r="B589" t="str">
            <v>VAR_fout</v>
          </cell>
          <cell r="C589" t="str">
            <v>T-ELC-Bus_c_BatSTGin_S3</v>
          </cell>
          <cell r="H589">
            <v>1.6967989808476542E-2</v>
          </cell>
          <cell r="I589">
            <v>1.7175776840116477E-2</v>
          </cell>
          <cell r="J589">
            <v>3.8406965531942436E-2</v>
          </cell>
        </row>
        <row r="590">
          <cell r="A590" t="str">
            <v>D-T-ELC-Bus_c_S3</v>
          </cell>
          <cell r="B590" t="str">
            <v>VAR_fin</v>
          </cell>
          <cell r="C590" t="str">
            <v>TELC</v>
          </cell>
          <cell r="H590">
            <v>1.6967989808476542E-2</v>
          </cell>
          <cell r="I590">
            <v>1.7175776840116477E-2</v>
          </cell>
          <cell r="J590">
            <v>3.8406965531942436E-2</v>
          </cell>
        </row>
        <row r="591">
          <cell r="A591" t="str">
            <v>D-T-ELC-Bus_c_S3</v>
          </cell>
          <cell r="B591" t="str">
            <v>VAR_ncap</v>
          </cell>
          <cell r="C591" t="str">
            <v>-</v>
          </cell>
          <cell r="H591">
            <v>2.0797145749822101E-3</v>
          </cell>
          <cell r="I591">
            <v>5.4480117453461203E-5</v>
          </cell>
          <cell r="J591">
            <v>4.8529434308855098E-3</v>
          </cell>
        </row>
        <row r="592">
          <cell r="A592" t="str">
            <v>D-T-ELC-Bus_c_S3</v>
          </cell>
          <cell r="B592" t="str">
            <v>VAR_cap</v>
          </cell>
          <cell r="C592" t="str">
            <v>-</v>
          </cell>
          <cell r="H592">
            <v>2.08732207350731E-3</v>
          </cell>
          <cell r="I592">
            <v>2.1341946924356698E-3</v>
          </cell>
          <cell r="J592">
            <v>4.87160402863845E-3</v>
          </cell>
        </row>
        <row r="593">
          <cell r="A593" t="str">
            <v>D-T-ELC-Bus_c_S4</v>
          </cell>
          <cell r="B593" t="str">
            <v>VAR_fout</v>
          </cell>
          <cell r="C593" t="str">
            <v>T-ELC-Bus_c_BatSTGin_S4</v>
          </cell>
          <cell r="H593">
            <v>5.2472019979149332E-5</v>
          </cell>
          <cell r="I593">
            <v>6.6988238926222763E-5</v>
          </cell>
          <cell r="J593">
            <v>3.124103965126422E-5</v>
          </cell>
        </row>
        <row r="594">
          <cell r="A594" t="str">
            <v>D-T-ELC-Bus_c_S4</v>
          </cell>
          <cell r="B594" t="str">
            <v>VAR_fin</v>
          </cell>
          <cell r="C594" t="str">
            <v>TELC</v>
          </cell>
          <cell r="H594">
            <v>5.2472019979149332E-5</v>
          </cell>
          <cell r="I594">
            <v>6.6988238926222763E-5</v>
          </cell>
          <cell r="J594">
            <v>3.124103965126422E-5</v>
          </cell>
        </row>
        <row r="595">
          <cell r="A595" t="str">
            <v>D-T-ELC-Bus_c_S4</v>
          </cell>
          <cell r="B595" t="str">
            <v>VAR_ncap</v>
          </cell>
          <cell r="C595" t="str">
            <v>-</v>
          </cell>
          <cell r="H595">
            <v>8.68337343913847E-6</v>
          </cell>
          <cell r="I595">
            <v>1.00075358420051E-5</v>
          </cell>
          <cell r="J595">
            <v>4.4531693528675004E-6</v>
          </cell>
        </row>
        <row r="596">
          <cell r="A596" t="str">
            <v>D-T-ELC-Bus_c_S4</v>
          </cell>
          <cell r="B596" t="str">
            <v>VAR_cap</v>
          </cell>
          <cell r="C596" t="str">
            <v>-</v>
          </cell>
          <cell r="H596">
            <v>1.04626658237436E-5</v>
          </cell>
          <cell r="I596">
            <v>1.5938161022565201E-5</v>
          </cell>
          <cell r="J596">
            <v>6.2093781707390197E-6</v>
          </cell>
        </row>
        <row r="597">
          <cell r="A597" t="str">
            <v>D-TH2O</v>
          </cell>
          <cell r="B597" t="str">
            <v>VAR_fout</v>
          </cell>
          <cell r="C597" t="str">
            <v>TH2O</v>
          </cell>
          <cell r="H597">
            <v>5.2161167756697935E-5</v>
          </cell>
          <cell r="I597">
            <v>1.0319231141174709E-4</v>
          </cell>
          <cell r="J597">
            <v>4.1046678728537539E-3</v>
          </cell>
        </row>
        <row r="598">
          <cell r="A598" t="str">
            <v>D-TH2O</v>
          </cell>
          <cell r="B598" t="str">
            <v>VAR_fin</v>
          </cell>
          <cell r="C598" t="str">
            <v>H2</v>
          </cell>
          <cell r="H598">
            <v>5.2161167756697935E-5</v>
          </cell>
          <cell r="I598">
            <v>1.0319231141174709E-4</v>
          </cell>
          <cell r="J598">
            <v>4.1046818371291444E-3</v>
          </cell>
        </row>
        <row r="599">
          <cell r="A599" t="str">
            <v>D-TH2O</v>
          </cell>
          <cell r="B599" t="str">
            <v>VAR_ncap</v>
          </cell>
          <cell r="C599" t="str">
            <v>-</v>
          </cell>
          <cell r="H599">
            <v>1.2000755644320001E-8</v>
          </cell>
          <cell r="I599">
            <v>2.2690459521149599E-7</v>
          </cell>
          <cell r="J599">
            <v>1.8255940188373099E-8</v>
          </cell>
        </row>
        <row r="600">
          <cell r="A600" t="str">
            <v>D-TH2O</v>
          </cell>
          <cell r="B600" t="str">
            <v>VAR_cap</v>
          </cell>
          <cell r="C600" t="str">
            <v>-</v>
          </cell>
          <cell r="H600">
            <v>5.8276562142847395E-4</v>
          </cell>
          <cell r="I600">
            <v>5.8299252602368496E-4</v>
          </cell>
          <cell r="J600">
            <v>5.8301078196387301E-4</v>
          </cell>
        </row>
        <row r="601">
          <cell r="A601" t="str">
            <v>TFHGV-HYBDSL</v>
          </cell>
          <cell r="B601" t="str">
            <v>VAR_fout</v>
          </cell>
          <cell r="C601" t="str">
            <v>CO2_T</v>
          </cell>
          <cell r="H601">
            <v>891.99893084547193</v>
          </cell>
          <cell r="I601">
            <v>764.67708912102796</v>
          </cell>
          <cell r="J601">
            <v>35.601637069928302</v>
          </cell>
        </row>
        <row r="602">
          <cell r="A602" t="str">
            <v>TFHGV-HYBDSL</v>
          </cell>
          <cell r="B602" t="str">
            <v>VAR_fout</v>
          </cell>
          <cell r="C602" t="str">
            <v>TFHGV</v>
          </cell>
          <cell r="H602">
            <v>1.989253169153929</v>
          </cell>
          <cell r="I602">
            <v>1.705311823044017</v>
          </cell>
          <cell r="J602">
            <v>7.9395464410810607E-2</v>
          </cell>
        </row>
        <row r="603">
          <cell r="A603" t="str">
            <v>TFHGV-HYBDSL</v>
          </cell>
          <cell r="B603" t="str">
            <v>VAR_fin</v>
          </cell>
          <cell r="C603" t="str">
            <v>TDSL</v>
          </cell>
          <cell r="H603">
            <v>12.169153217537144</v>
          </cell>
          <cell r="I603">
            <v>10.432156741078137</v>
          </cell>
          <cell r="J603">
            <v>0.48569764079028982</v>
          </cell>
        </row>
        <row r="604">
          <cell r="A604" t="str">
            <v>TFHGV-HYBDSL</v>
          </cell>
          <cell r="B604" t="str">
            <v>VAR_ncap</v>
          </cell>
          <cell r="C604" t="str">
            <v>-</v>
          </cell>
          <cell r="H604">
            <v>3.2057449928772998E-2</v>
          </cell>
          <cell r="I604">
            <v>1.2158310391765299E-2</v>
          </cell>
        </row>
        <row r="605">
          <cell r="A605" t="str">
            <v>TFHGV-HYBDSL</v>
          </cell>
          <cell r="B605" t="str">
            <v>VAR_cap</v>
          </cell>
          <cell r="C605" t="str">
            <v>-</v>
          </cell>
          <cell r="H605">
            <v>3.9041343961269397E-2</v>
          </cell>
          <cell r="I605">
            <v>3.4053109815592598E-2</v>
          </cell>
          <cell r="J605">
            <v>2.13364531064813E-3</v>
          </cell>
        </row>
        <row r="606">
          <cell r="A606" t="str">
            <v>D-TKER</v>
          </cell>
          <cell r="B606" t="str">
            <v>VAR_fout</v>
          </cell>
          <cell r="C606" t="str">
            <v>CO2</v>
          </cell>
          <cell r="H606">
            <v>188.417423508403</v>
          </cell>
          <cell r="I606">
            <v>156.67765893804599</v>
          </cell>
          <cell r="J606">
            <v>1.4043189733258999E-6</v>
          </cell>
        </row>
        <row r="607">
          <cell r="A607" t="str">
            <v>D-TKER</v>
          </cell>
          <cell r="B607" t="str">
            <v>VAR_fout</v>
          </cell>
          <cell r="C607" t="str">
            <v>TKER</v>
          </cell>
          <cell r="H607">
            <v>2.5501156774670899</v>
          </cell>
          <cell r="I607">
            <v>2.1205371930421801</v>
          </cell>
          <cell r="J607">
            <v>1.9006606519503501E-8</v>
          </cell>
        </row>
        <row r="608">
          <cell r="A608" t="str">
            <v>D-TKER</v>
          </cell>
          <cell r="B608" t="str">
            <v>VAR_fin</v>
          </cell>
          <cell r="C608" t="str">
            <v>KER</v>
          </cell>
          <cell r="H608">
            <v>2.5881514218187309</v>
          </cell>
          <cell r="I608">
            <v>2.1521656447533779</v>
          </cell>
          <cell r="J608">
            <v>1.9290095787443703E-8</v>
          </cell>
        </row>
        <row r="609">
          <cell r="A609" t="str">
            <v>T_B_u-BEVELC-S1</v>
          </cell>
          <cell r="B609" t="str">
            <v>VAR_fout</v>
          </cell>
          <cell r="C609" t="str">
            <v>TPBSu</v>
          </cell>
          <cell r="H609">
            <v>0.11250328757057407</v>
          </cell>
          <cell r="I609">
            <v>7.8216853549616341E-2</v>
          </cell>
          <cell r="J609">
            <v>0.11973933313307654</v>
          </cell>
        </row>
        <row r="610">
          <cell r="A610" t="str">
            <v>T_B_u-BEVELC-S1</v>
          </cell>
          <cell r="B610" t="str">
            <v>VAR_fin</v>
          </cell>
          <cell r="C610" t="str">
            <v>T-ELC-Bus_u_BatSTGout_S1</v>
          </cell>
          <cell r="H610">
            <v>0.23881581797134657</v>
          </cell>
          <cell r="I610">
            <v>0.16564511341680183</v>
          </cell>
          <cell r="J610">
            <v>0.22545990794866158</v>
          </cell>
        </row>
        <row r="611">
          <cell r="A611" t="str">
            <v>T_B_u-BEVELC-S1</v>
          </cell>
          <cell r="B611" t="str">
            <v>VAR_ncap</v>
          </cell>
          <cell r="C611" t="str">
            <v>-</v>
          </cell>
          <cell r="H611">
            <v>2.3210750475743799E-3</v>
          </cell>
          <cell r="I611">
            <v>7.1912661960279599E-5</v>
          </cell>
          <cell r="J611">
            <v>1.9284047749325199E-3</v>
          </cell>
        </row>
        <row r="612">
          <cell r="A612" t="str">
            <v>T_B_u-BEVELC-S1</v>
          </cell>
          <cell r="B612" t="str">
            <v>VAR_cap</v>
          </cell>
          <cell r="C612" t="str">
            <v>-</v>
          </cell>
          <cell r="H612">
            <v>2.3221493228455696E-3</v>
          </cell>
          <cell r="I612">
            <v>1.8178008635044299E-3</v>
          </cell>
          <cell r="J612">
            <v>2.2708278255252103E-3</v>
          </cell>
        </row>
        <row r="613">
          <cell r="A613" t="str">
            <v>TPSHPH2OEXT</v>
          </cell>
          <cell r="B613" t="str">
            <v>VAR_fout</v>
          </cell>
          <cell r="C613" t="str">
            <v>TPSHP</v>
          </cell>
          <cell r="H613">
            <v>1.26566497166355E-5</v>
          </cell>
          <cell r="I613">
            <v>1.31190456003494E-5</v>
          </cell>
          <cell r="J613">
            <v>7.1541305101043198E-3</v>
          </cell>
        </row>
        <row r="614">
          <cell r="A614" t="str">
            <v>TPSHPH2OEXT</v>
          </cell>
          <cell r="B614" t="str">
            <v>VAR_fin</v>
          </cell>
          <cell r="C614" t="str">
            <v>TH2O</v>
          </cell>
          <cell r="H614">
            <v>7.0570410541240433E-6</v>
          </cell>
          <cell r="I614">
            <v>7.3148617892856672E-6</v>
          </cell>
          <cell r="J614">
            <v>3.9889697389672296E-3</v>
          </cell>
        </row>
        <row r="615">
          <cell r="A615" t="str">
            <v>TPSHPH2OEXT</v>
          </cell>
          <cell r="B615" t="str">
            <v>VAR_ncap</v>
          </cell>
          <cell r="C615" t="str">
            <v>-</v>
          </cell>
          <cell r="H615">
            <v>1.2725354367695099E-5</v>
          </cell>
          <cell r="I615">
            <v>4.9560122772613103E-7</v>
          </cell>
          <cell r="J615">
            <v>7.1435958629032298E-3</v>
          </cell>
        </row>
        <row r="616">
          <cell r="A616" t="str">
            <v>TPSHPH2OEXT</v>
          </cell>
          <cell r="B616" t="str">
            <v>VAR_cap</v>
          </cell>
          <cell r="C616" t="str">
            <v>-</v>
          </cell>
          <cell r="H616">
            <v>1.2725354367695099E-5</v>
          </cell>
          <cell r="I616">
            <v>1.314545510822727E-5</v>
          </cell>
          <cell r="J616">
            <v>7.1539775592540759E-3</v>
          </cell>
        </row>
        <row r="617">
          <cell r="A617" t="str">
            <v>T_B_u-BEVELC-S2</v>
          </cell>
          <cell r="B617" t="str">
            <v>VAR_fout</v>
          </cell>
          <cell r="C617" t="str">
            <v>TPBSu</v>
          </cell>
          <cell r="H617">
            <v>3.9948817854076286E-2</v>
          </cell>
          <cell r="I617">
            <v>4.645279591878107E-2</v>
          </cell>
          <cell r="J617">
            <v>5.0481991852649719E-2</v>
          </cell>
        </row>
        <row r="618">
          <cell r="A618" t="str">
            <v>T_B_u-BEVELC-S2</v>
          </cell>
          <cell r="B618" t="str">
            <v>VAR_fin</v>
          </cell>
          <cell r="C618" t="str">
            <v>T-ELC-Bus_u_BatSTGout_S2</v>
          </cell>
          <cell r="H618">
            <v>0.11703526500421978</v>
          </cell>
          <cell r="I618">
            <v>0.1351684259967359</v>
          </cell>
          <cell r="J618">
            <v>0.13210651634684792</v>
          </cell>
        </row>
        <row r="619">
          <cell r="A619" t="str">
            <v>T_B_u-BEVELC-S2</v>
          </cell>
          <cell r="B619" t="str">
            <v>VAR_ncap</v>
          </cell>
          <cell r="C619" t="str">
            <v>-</v>
          </cell>
          <cell r="H619">
            <v>7.5233975013910403E-4</v>
          </cell>
          <cell r="I619">
            <v>1.2353832214354499E-4</v>
          </cell>
          <cell r="J619">
            <v>7.5803271459742795E-4</v>
          </cell>
        </row>
        <row r="620">
          <cell r="A620" t="str">
            <v>T_B_u-BEVELC-S2</v>
          </cell>
          <cell r="B620" t="str">
            <v>VAR_cap</v>
          </cell>
          <cell r="C620" t="str">
            <v>-</v>
          </cell>
          <cell r="H620">
            <v>7.5343377790683668E-4</v>
          </cell>
          <cell r="I620">
            <v>8.7605095343326036E-4</v>
          </cell>
          <cell r="J620">
            <v>9.5201491347108604E-4</v>
          </cell>
        </row>
        <row r="621">
          <cell r="A621" t="str">
            <v>TFHGV-ICEDSL</v>
          </cell>
          <cell r="B621" t="str">
            <v>VAR_fout</v>
          </cell>
          <cell r="C621" t="str">
            <v>CO2_T</v>
          </cell>
          <cell r="H621">
            <v>6.4020145412254509E-3</v>
          </cell>
          <cell r="I621">
            <v>8.7496123088018005E-3</v>
          </cell>
          <cell r="J621">
            <v>8.0470325905790104E-4</v>
          </cell>
        </row>
        <row r="622">
          <cell r="A622" t="str">
            <v>TFHGV-ICEDSL</v>
          </cell>
          <cell r="B622" t="str">
            <v>VAR_fout</v>
          </cell>
          <cell r="C622" t="str">
            <v>TFHGV</v>
          </cell>
          <cell r="H622">
            <v>1.0367552917761495E-5</v>
          </cell>
          <cell r="I622">
            <v>1.4169300622056411E-5</v>
          </cell>
          <cell r="J622">
            <v>1.303152869718565E-6</v>
          </cell>
        </row>
        <row r="623">
          <cell r="A623" t="str">
            <v>TFHGV-ICEDSL</v>
          </cell>
          <cell r="B623" t="str">
            <v>VAR_fin</v>
          </cell>
          <cell r="C623" t="str">
            <v>TDSL</v>
          </cell>
          <cell r="H623">
            <v>8.733989824318476E-5</v>
          </cell>
          <cell r="I623">
            <v>1.1936715291680499E-4</v>
          </cell>
          <cell r="J623">
            <v>1.0978216358225116E-5</v>
          </cell>
        </row>
        <row r="624">
          <cell r="A624" t="str">
            <v>TFHGV-ICEDSL</v>
          </cell>
          <cell r="B624" t="str">
            <v>VAR_ncap</v>
          </cell>
          <cell r="C624" t="str">
            <v>-</v>
          </cell>
          <cell r="H624">
            <v>1.8149726239081999E-7</v>
          </cell>
          <cell r="I624">
            <v>2.03517235365582E-7</v>
          </cell>
        </row>
        <row r="625">
          <cell r="A625" t="str">
            <v>TFHGV-ICEDSL</v>
          </cell>
          <cell r="B625" t="str">
            <v>VAR_cap</v>
          </cell>
          <cell r="C625" t="str">
            <v>-</v>
          </cell>
          <cell r="H625">
            <v>2.5318989944255403E-7</v>
          </cell>
          <cell r="I625">
            <v>3.2747738081851302E-7</v>
          </cell>
          <cell r="J625">
            <v>3.57149621026246E-8</v>
          </cell>
        </row>
        <row r="626">
          <cell r="A626" t="str">
            <v>D-T-ELC-Bus_u_S1</v>
          </cell>
          <cell r="B626" t="str">
            <v>VAR_fout</v>
          </cell>
          <cell r="C626" t="str">
            <v>T-ELC-Bus_u_BatSTGin_S1</v>
          </cell>
          <cell r="H626">
            <v>0.2388562873761465</v>
          </cell>
          <cell r="I626">
            <v>0.16567736166709365</v>
          </cell>
          <cell r="J626">
            <v>0.22549335866209916</v>
          </cell>
        </row>
        <row r="627">
          <cell r="A627" t="str">
            <v>D-T-ELC-Bus_u_S1</v>
          </cell>
          <cell r="B627" t="str">
            <v>VAR_fin</v>
          </cell>
          <cell r="C627" t="str">
            <v>TELC</v>
          </cell>
          <cell r="H627">
            <v>0.2388562873761465</v>
          </cell>
          <cell r="I627">
            <v>0.16567736166709365</v>
          </cell>
          <cell r="J627">
            <v>0.22549335866209916</v>
          </cell>
        </row>
        <row r="628">
          <cell r="A628" t="str">
            <v>D-T-ELC-Bus_u_S1</v>
          </cell>
          <cell r="B628" t="str">
            <v>VAR_ncap</v>
          </cell>
          <cell r="C628" t="str">
            <v>-</v>
          </cell>
          <cell r="H628">
            <v>1.5827331989673898E-2</v>
          </cell>
          <cell r="I628">
            <v>4.6074684772853397E-5</v>
          </cell>
          <cell r="J628">
            <v>2.1033893852799E-2</v>
          </cell>
        </row>
        <row r="629">
          <cell r="A629" t="str">
            <v>D-T-ELC-Bus_u_S1</v>
          </cell>
          <cell r="B629" t="str">
            <v>VAR_cap</v>
          </cell>
          <cell r="C629" t="str">
            <v>-</v>
          </cell>
          <cell r="H629">
            <v>2.52469898485355E-2</v>
          </cell>
          <cell r="I629">
            <v>1.7512081981322002E-2</v>
          </cell>
          <cell r="J629">
            <v>2.3834517458453001E-2</v>
          </cell>
        </row>
        <row r="630">
          <cell r="A630" t="str">
            <v>T-Plg-DSL-mix_S1</v>
          </cell>
          <cell r="B630" t="str">
            <v>VAR_fout</v>
          </cell>
          <cell r="C630" t="str">
            <v>CO2_T</v>
          </cell>
          <cell r="H630">
            <v>1.7708525495616204E-2</v>
          </cell>
          <cell r="I630">
            <v>8.3158380017862299E-3</v>
          </cell>
          <cell r="J630">
            <v>1.1003028776441189E-3</v>
          </cell>
        </row>
        <row r="631">
          <cell r="A631" t="str">
            <v>T-Plg-DSL-mix_S1</v>
          </cell>
          <cell r="B631" t="str">
            <v>VAR_fout</v>
          </cell>
          <cell r="C631" t="str">
            <v>T-PEVmix-ELC_DSL_S1</v>
          </cell>
          <cell r="H631">
            <v>1.7597531835851534E-4</v>
          </cell>
          <cell r="I631">
            <v>8.5590632072728615E-5</v>
          </cell>
          <cell r="J631">
            <v>1.1893347258521774E-5</v>
          </cell>
        </row>
        <row r="632">
          <cell r="A632" t="str">
            <v>T-Plg-DSL-mix_S1</v>
          </cell>
          <cell r="B632" t="str">
            <v>VAR_fin</v>
          </cell>
          <cell r="C632" t="str">
            <v>TDSL</v>
          </cell>
          <cell r="H632">
            <v>2.4158970662505082E-4</v>
          </cell>
          <cell r="I632">
            <v>1.1344935882382308E-4</v>
          </cell>
          <cell r="J632">
            <v>1.5010953310288105E-5</v>
          </cell>
        </row>
        <row r="633">
          <cell r="A633" t="str">
            <v>T_B_u-BEVELC-S3</v>
          </cell>
          <cell r="B633" t="str">
            <v>VAR_fout</v>
          </cell>
          <cell r="C633" t="str">
            <v>TPBSu</v>
          </cell>
          <cell r="H633">
            <v>0.10745382573185532</v>
          </cell>
          <cell r="I633">
            <v>0.20239611243702799</v>
          </cell>
          <cell r="J633">
            <v>0.22061116884852996</v>
          </cell>
        </row>
        <row r="634">
          <cell r="A634" t="str">
            <v>T_B_u-BEVELC-S3</v>
          </cell>
          <cell r="B634" t="str">
            <v>VAR_fin</v>
          </cell>
          <cell r="C634" t="str">
            <v>T-ELC-Bus_u_BatSTGout_S3</v>
          </cell>
          <cell r="H634">
            <v>0.47223075030991951</v>
          </cell>
          <cell r="I634">
            <v>0.8693438284660332</v>
          </cell>
          <cell r="J634">
            <v>0.8535374952778596</v>
          </cell>
        </row>
        <row r="635">
          <cell r="A635" t="str">
            <v>T_B_u-BEVELC-S3</v>
          </cell>
          <cell r="B635" t="str">
            <v>VAR_ncap</v>
          </cell>
          <cell r="C635" t="str">
            <v>-</v>
          </cell>
          <cell r="H635">
            <v>2.0261406270735598E-3</v>
          </cell>
          <cell r="I635">
            <v>1.7905818133416801E-3</v>
          </cell>
          <cell r="J635">
            <v>3.5468950595171599E-3</v>
          </cell>
        </row>
        <row r="636">
          <cell r="A636" t="str">
            <v>T_B_u-BEVELC-S3</v>
          </cell>
          <cell r="B636" t="str">
            <v>VAR_cap</v>
          </cell>
          <cell r="C636" t="str">
            <v>-</v>
          </cell>
          <cell r="H636">
            <v>2.02634631155454E-3</v>
          </cell>
          <cell r="I636">
            <v>3.8167224404152301E-3</v>
          </cell>
          <cell r="J636">
            <v>4.1602073746206903E-3</v>
          </cell>
        </row>
        <row r="637">
          <cell r="A637" t="str">
            <v>D-T-ELC-Bus_u_S2</v>
          </cell>
          <cell r="B637" t="str">
            <v>VAR_fout</v>
          </cell>
          <cell r="C637" t="str">
            <v>T-ELC-Bus_u_BatSTGin_S2</v>
          </cell>
          <cell r="H637">
            <v>0.1170625867735624</v>
          </cell>
          <cell r="I637">
            <v>0.13519475063076936</v>
          </cell>
          <cell r="J637">
            <v>0.13212901787445405</v>
          </cell>
        </row>
        <row r="638">
          <cell r="A638" t="str">
            <v>D-T-ELC-Bus_u_S2</v>
          </cell>
          <cell r="B638" t="str">
            <v>VAR_fin</v>
          </cell>
          <cell r="C638" t="str">
            <v>TELC</v>
          </cell>
          <cell r="H638">
            <v>0.1170625867735624</v>
          </cell>
          <cell r="I638">
            <v>0.13519475063076936</v>
          </cell>
          <cell r="J638">
            <v>0.13212901787445405</v>
          </cell>
        </row>
        <row r="639">
          <cell r="A639" t="str">
            <v>D-T-ELC-Bus_u_S2</v>
          </cell>
          <cell r="B639" t="str">
            <v>VAR_ncap</v>
          </cell>
          <cell r="C639" t="str">
            <v>-</v>
          </cell>
          <cell r="H639">
            <v>1.2350756019246E-2</v>
          </cell>
          <cell r="I639">
            <v>1.9363025412513499E-3</v>
          </cell>
          <cell r="J639">
            <v>1.0827489715995601E-2</v>
          </cell>
        </row>
        <row r="640">
          <cell r="A640" t="str">
            <v>D-T-ELC-Bus_u_S2</v>
          </cell>
          <cell r="B640" t="str">
            <v>VAR_cap</v>
          </cell>
          <cell r="C640" t="str">
            <v>-</v>
          </cell>
          <cell r="H640">
            <v>1.23734995861042E-2</v>
          </cell>
          <cell r="I640">
            <v>1.42900489379028E-2</v>
          </cell>
          <cell r="J640">
            <v>1.39659730148095E-2</v>
          </cell>
        </row>
        <row r="641">
          <cell r="A641" t="str">
            <v>T-Plg-DSL-mix_S2</v>
          </cell>
          <cell r="B641" t="str">
            <v>VAR_fout</v>
          </cell>
          <cell r="C641" t="str">
            <v>CO2_T</v>
          </cell>
          <cell r="H641">
            <v>0.16608191410801415</v>
          </cell>
          <cell r="I641">
            <v>7.2338225017470947E-2</v>
          </cell>
          <cell r="J641">
            <v>3.7676567041169799E-3</v>
          </cell>
        </row>
        <row r="642">
          <cell r="A642" t="str">
            <v>T-Plg-DSL-mix_S2</v>
          </cell>
          <cell r="B642" t="str">
            <v>VAR_fout</v>
          </cell>
          <cell r="C642" t="str">
            <v>T-PEVmix-ELC_DSL_S2</v>
          </cell>
          <cell r="H642">
            <v>1.3493284503154508E-3</v>
          </cell>
          <cell r="I642">
            <v>6.1836943719957127E-4</v>
          </cell>
          <cell r="J642">
            <v>3.3515450273892953E-5</v>
          </cell>
        </row>
        <row r="643">
          <cell r="A643" t="str">
            <v>T-Plg-DSL-mix_S2</v>
          </cell>
          <cell r="B643" t="str">
            <v>VAR_fin</v>
          </cell>
          <cell r="C643" t="str">
            <v>TDSL</v>
          </cell>
          <cell r="H643">
            <v>2.2657832756891394E-3</v>
          </cell>
          <cell r="I643">
            <v>9.8687892247572954E-4</v>
          </cell>
          <cell r="J643">
            <v>5.1400500738294405E-5</v>
          </cell>
        </row>
        <row r="644">
          <cell r="A644" t="str">
            <v>T_B_u-BEVELC-S4</v>
          </cell>
          <cell r="B644" t="str">
            <v>VAR_fout</v>
          </cell>
          <cell r="C644" t="str">
            <v>TPBSu</v>
          </cell>
          <cell r="H644">
            <v>8.1471073462714E-7</v>
          </cell>
        </row>
        <row r="645">
          <cell r="A645" t="str">
            <v>T_B_u-BEVELC-S4</v>
          </cell>
          <cell r="B645" t="str">
            <v>VAR_fin</v>
          </cell>
          <cell r="C645" t="str">
            <v>T-ELC-Bus_u_BatSTGout_S4</v>
          </cell>
          <cell r="H645">
            <v>5.3586590168183605E-6</v>
          </cell>
        </row>
        <row r="646">
          <cell r="A646" t="str">
            <v>T_B_u-BEVELC-S4</v>
          </cell>
          <cell r="B646" t="str">
            <v>VAR_ncap</v>
          </cell>
          <cell r="C646" t="str">
            <v>-</v>
          </cell>
          <cell r="H646">
            <v>4.5701978485426397E-8</v>
          </cell>
          <cell r="I646">
            <v>4.4479922929473103E-8</v>
          </cell>
          <cell r="J646">
            <v>1.88840100463557E-8</v>
          </cell>
        </row>
        <row r="647">
          <cell r="A647" t="str">
            <v>T_B_u-BEVELC-S4</v>
          </cell>
          <cell r="B647" t="str">
            <v>VAR_cap</v>
          </cell>
          <cell r="C647" t="str">
            <v>-</v>
          </cell>
          <cell r="H647">
            <v>5.2615671457001999E-8</v>
          </cell>
          <cell r="I647">
            <v>6.0384032847993499E-8</v>
          </cell>
          <cell r="J647">
            <v>2.6689731065021101E-8</v>
          </cell>
        </row>
        <row r="648">
          <cell r="A648" t="str">
            <v>D-TBDS1</v>
          </cell>
          <cell r="B648" t="str">
            <v>VAR_fout</v>
          </cell>
          <cell r="C648" t="str">
            <v>TDSL</v>
          </cell>
          <cell r="H648">
            <v>2.9713060326692893</v>
          </cell>
          <cell r="I648">
            <v>2.9710136209925673</v>
          </cell>
          <cell r="J648">
            <v>3.2322831321284471</v>
          </cell>
        </row>
        <row r="649">
          <cell r="A649" t="str">
            <v>D-TBDS1</v>
          </cell>
          <cell r="B649" t="str">
            <v>VAR_fout</v>
          </cell>
          <cell r="C649" t="str">
            <v>TKER</v>
          </cell>
          <cell r="H649">
            <v>3.7593762398877798E-4</v>
          </cell>
          <cell r="I649">
            <v>9.6252264382109507E-5</v>
          </cell>
          <cell r="J649">
            <v>1.69077519836156</v>
          </cell>
        </row>
        <row r="650">
          <cell r="A650" t="str">
            <v>D-TBDS1</v>
          </cell>
          <cell r="B650" t="str">
            <v>VAR_fin</v>
          </cell>
          <cell r="C650" t="str">
            <v>BDS</v>
          </cell>
          <cell r="H650">
            <v>3.01600550412974</v>
          </cell>
          <cell r="I650">
            <v>3.0154248267817092</v>
          </cell>
          <cell r="J650">
            <v>4.9964872074478777</v>
          </cell>
        </row>
        <row r="651">
          <cell r="A651" t="str">
            <v>D-T-ELC-Bus_u_S3</v>
          </cell>
          <cell r="B651" t="str">
            <v>VAR_fout</v>
          </cell>
          <cell r="C651" t="str">
            <v>T-ELC-Bus_u_BatSTGin_S3</v>
          </cell>
          <cell r="H651">
            <v>0.47228722753834523</v>
          </cell>
          <cell r="I651">
            <v>0.86943815652349288</v>
          </cell>
          <cell r="J651">
            <v>0.85362881283224157</v>
          </cell>
        </row>
        <row r="652">
          <cell r="A652" t="str">
            <v>D-T-ELC-Bus_u_S3</v>
          </cell>
          <cell r="B652" t="str">
            <v>VAR_fin</v>
          </cell>
          <cell r="C652" t="str">
            <v>TELC</v>
          </cell>
          <cell r="H652">
            <v>0.47228722753834523</v>
          </cell>
          <cell r="I652">
            <v>0.86943815652349288</v>
          </cell>
          <cell r="J652">
            <v>0.85362881283224157</v>
          </cell>
        </row>
        <row r="653">
          <cell r="A653" t="str">
            <v>D-T-ELC-Bus_u_S3</v>
          </cell>
          <cell r="B653" t="str">
            <v>VAR_ncap</v>
          </cell>
          <cell r="C653" t="str">
            <v>-</v>
          </cell>
          <cell r="H653">
            <v>4.9913311753092597E-2</v>
          </cell>
          <cell r="I653">
            <v>4.1985728013195701E-2</v>
          </cell>
          <cell r="J653">
            <v>7.5846982919432093E-2</v>
          </cell>
        </row>
        <row r="654">
          <cell r="A654" t="str">
            <v>D-T-ELC-Bus_u_S3</v>
          </cell>
          <cell r="B654" t="str">
            <v>VAR_cap</v>
          </cell>
          <cell r="C654" t="str">
            <v>-</v>
          </cell>
          <cell r="H654">
            <v>4.9920464860294798E-2</v>
          </cell>
          <cell r="I654">
            <v>9.1899039766288396E-2</v>
          </cell>
          <cell r="J654">
            <v>9.0227986823980699E-2</v>
          </cell>
        </row>
        <row r="655">
          <cell r="A655" t="str">
            <v>T-Plg-DSL-mix_S3</v>
          </cell>
          <cell r="B655" t="str">
            <v>VAR_fout</v>
          </cell>
          <cell r="C655" t="str">
            <v>CO2_T</v>
          </cell>
          <cell r="H655">
            <v>624.85454661949507</v>
          </cell>
          <cell r="I655">
            <v>337.91587562563569</v>
          </cell>
          <cell r="J655">
            <v>45.073169023327708</v>
          </cell>
        </row>
        <row r="656">
          <cell r="A656" t="str">
            <v>T-Plg-DSL-mix_S3</v>
          </cell>
          <cell r="B656" t="str">
            <v>VAR_fout</v>
          </cell>
          <cell r="C656" t="str">
            <v>T-PEVmix-ELC_DSL_S3</v>
          </cell>
          <cell r="H656">
            <v>4.7190833095384281</v>
          </cell>
          <cell r="I656">
            <v>2.7029342171792354</v>
          </cell>
          <cell r="J656">
            <v>0.3806591266822833</v>
          </cell>
        </row>
        <row r="657">
          <cell r="A657" t="str">
            <v>T-Plg-DSL-mix_S3</v>
          </cell>
          <cell r="B657" t="str">
            <v>VAR_fin</v>
          </cell>
          <cell r="C657" t="str">
            <v>TDSL</v>
          </cell>
          <cell r="H657">
            <v>8.524618644195014</v>
          </cell>
          <cell r="I657">
            <v>4.6100392309090896</v>
          </cell>
          <cell r="J657">
            <v>0.61491362924048665</v>
          </cell>
        </row>
        <row r="658">
          <cell r="A658" t="str">
            <v>D-T-ELC-Bus_u_S4</v>
          </cell>
          <cell r="B658" t="str">
            <v>VAR_fout</v>
          </cell>
          <cell r="C658" t="str">
            <v>T-ELC-Bus_u_BatSTGin_S4</v>
          </cell>
          <cell r="H658">
            <v>3.3176694616950481E-5</v>
          </cell>
          <cell r="I658">
            <v>3.5019679396377554E-5</v>
          </cell>
          <cell r="J658">
            <v>2.1469968536853221E-5</v>
          </cell>
        </row>
        <row r="659">
          <cell r="A659" t="str">
            <v>D-T-ELC-Bus_u_S4</v>
          </cell>
          <cell r="B659" t="str">
            <v>VAR_fin</v>
          </cell>
          <cell r="C659" t="str">
            <v>TELC</v>
          </cell>
          <cell r="H659">
            <v>3.3176694616950481E-5</v>
          </cell>
          <cell r="I659">
            <v>3.5019679396377554E-5</v>
          </cell>
          <cell r="J659">
            <v>2.1469968536853221E-5</v>
          </cell>
        </row>
        <row r="660">
          <cell r="A660" t="str">
            <v>D-T-ELC-Bus_u_S4</v>
          </cell>
          <cell r="B660" t="str">
            <v>VAR_ncap</v>
          </cell>
          <cell r="C660" t="str">
            <v>-</v>
          </cell>
          <cell r="H660">
            <v>6.2446502857846596E-6</v>
          </cell>
          <cell r="I660">
            <v>7.3299118349438601E-6</v>
          </cell>
          <cell r="J660">
            <v>2.71739170495353E-6</v>
          </cell>
        </row>
        <row r="661">
          <cell r="A661" t="str">
            <v>D-T-ELC-Bus_u_S4</v>
          </cell>
          <cell r="B661" t="str">
            <v>VAR_cap</v>
          </cell>
          <cell r="C661" t="str">
            <v>-</v>
          </cell>
          <cell r="H661">
            <v>7.7081989157738804E-6</v>
          </cell>
          <cell r="I661">
            <v>1.1594922488722799E-5</v>
          </cell>
          <cell r="J661">
            <v>4.0037079372389503E-6</v>
          </cell>
        </row>
        <row r="662">
          <cell r="A662" t="str">
            <v>T_C-FC-H2O-S1</v>
          </cell>
          <cell r="B662" t="str">
            <v>VAR_fout</v>
          </cell>
          <cell r="C662" t="str">
            <v>TPCAR</v>
          </cell>
        </row>
        <row r="663">
          <cell r="A663" t="str">
            <v>T_C-FC-H2O-S1</v>
          </cell>
          <cell r="B663" t="str">
            <v>VAR_fin</v>
          </cell>
          <cell r="C663" t="str">
            <v>TH2O</v>
          </cell>
        </row>
        <row r="664">
          <cell r="A664" t="str">
            <v>T_C-FC-H2O-S1</v>
          </cell>
          <cell r="B664" t="str">
            <v>VAR_ncap</v>
          </cell>
          <cell r="C664" t="str">
            <v>-</v>
          </cell>
          <cell r="I664">
            <v>1.27728408086776E-8</v>
          </cell>
          <cell r="J664">
            <v>1.5295026761656599E-8</v>
          </cell>
        </row>
        <row r="665">
          <cell r="A665" t="str">
            <v>T_C-FC-H2O-S1</v>
          </cell>
          <cell r="B665" t="str">
            <v>VAR_cap</v>
          </cell>
          <cell r="C665" t="str">
            <v>-</v>
          </cell>
          <cell r="H665">
            <v>1.0231163520193998E-8</v>
          </cell>
          <cell r="I665">
            <v>1.36764016888987E-8</v>
          </cell>
          <cell r="J665">
            <v>1.95130336406047E-8</v>
          </cell>
        </row>
        <row r="666">
          <cell r="A666" t="str">
            <v>T_B_c-ICEDSL-S1</v>
          </cell>
          <cell r="B666" t="str">
            <v>VAR_fout</v>
          </cell>
          <cell r="C666" t="str">
            <v>CO2_T</v>
          </cell>
          <cell r="H666">
            <v>0.1036782448454463</v>
          </cell>
          <cell r="I666">
            <v>0.18399411856855061</v>
          </cell>
          <cell r="J666">
            <v>8.0184668934470335E-2</v>
          </cell>
        </row>
        <row r="667">
          <cell r="A667" t="str">
            <v>T_B_c-ICEDSL-S1</v>
          </cell>
          <cell r="B667" t="str">
            <v>VAR_fout</v>
          </cell>
          <cell r="C667" t="str">
            <v>TPBSc</v>
          </cell>
          <cell r="H667">
            <v>2.0598281933950063E-4</v>
          </cell>
          <cell r="I667">
            <v>4.0402014039004047E-4</v>
          </cell>
          <cell r="J667">
            <v>1.7782627081107294E-4</v>
          </cell>
        </row>
        <row r="668">
          <cell r="A668" t="str">
            <v>T_B_c-ICEDSL-S1</v>
          </cell>
          <cell r="B668" t="str">
            <v>VAR_fin</v>
          </cell>
          <cell r="C668" t="str">
            <v>TDSL</v>
          </cell>
          <cell r="H668">
            <v>1.4144371738805761E-3</v>
          </cell>
          <cell r="I668">
            <v>2.5101516857919635E-3</v>
          </cell>
          <cell r="J668">
            <v>1.0939245420800861E-3</v>
          </cell>
        </row>
        <row r="669">
          <cell r="A669" t="str">
            <v>T_B_c-ICEDSL-S1</v>
          </cell>
          <cell r="B669" t="str">
            <v>VAR_ncap</v>
          </cell>
          <cell r="C669" t="str">
            <v>-</v>
          </cell>
          <cell r="H669">
            <v>7.0331358247049402E-7</v>
          </cell>
          <cell r="I669">
            <v>7.6055171377869903E-6</v>
          </cell>
        </row>
        <row r="670">
          <cell r="A670" t="str">
            <v>T_B_c-ICEDSL-S1</v>
          </cell>
          <cell r="B670" t="str">
            <v>VAR_cap</v>
          </cell>
          <cell r="C670" t="str">
            <v>-</v>
          </cell>
          <cell r="H670">
            <v>5.6074131376240214E-6</v>
          </cell>
          <cell r="I670">
            <v>8.9917538942550025E-6</v>
          </cell>
          <cell r="J670">
            <v>3.9376306191033901E-6</v>
          </cell>
        </row>
        <row r="671">
          <cell r="A671" t="str">
            <v>T-Plg-DSL-mix_S4</v>
          </cell>
          <cell r="B671" t="str">
            <v>VAR_fout</v>
          </cell>
          <cell r="C671" t="str">
            <v>CO2_T</v>
          </cell>
          <cell r="H671">
            <v>10.232077885093853</v>
          </cell>
          <cell r="I671">
            <v>2.7958438354099875</v>
          </cell>
          <cell r="J671">
            <v>3.8741168446465501E-3</v>
          </cell>
        </row>
        <row r="672">
          <cell r="A672" t="str">
            <v>T-Plg-DSL-mix_S4</v>
          </cell>
          <cell r="B672" t="str">
            <v>VAR_fout</v>
          </cell>
          <cell r="C672" t="str">
            <v>T-PEVmix-ELC_DSL_S4</v>
          </cell>
          <cell r="H672">
            <v>7.356465785349714E-2</v>
          </cell>
          <cell r="I672">
            <v>2.1219228636310483E-2</v>
          </cell>
          <cell r="J672">
            <v>3.0343128801872268E-5</v>
          </cell>
        </row>
        <row r="673">
          <cell r="A673" t="str">
            <v>T-Plg-DSL-mix_S4</v>
          </cell>
          <cell r="B673" t="str">
            <v>VAR_fin</v>
          </cell>
          <cell r="C673" t="str">
            <v>TDSL</v>
          </cell>
          <cell r="H673">
            <v>0.13959178560837446</v>
          </cell>
          <cell r="I673">
            <v>3.8142480701364112E-2</v>
          </cell>
          <cell r="J673">
            <v>5.2852890104318602E-5</v>
          </cell>
        </row>
        <row r="674">
          <cell r="A674" t="str">
            <v>T_C-FC-H2O-S2</v>
          </cell>
          <cell r="B674" t="str">
            <v>VAR_fout</v>
          </cell>
          <cell r="C674" t="str">
            <v>TPCAR</v>
          </cell>
        </row>
        <row r="675">
          <cell r="A675" t="str">
            <v>T_C-FC-H2O-S2</v>
          </cell>
          <cell r="B675" t="str">
            <v>VAR_fin</v>
          </cell>
          <cell r="C675" t="str">
            <v>TH2O</v>
          </cell>
        </row>
        <row r="676">
          <cell r="A676" t="str">
            <v>T_C-FC-H2O-S2</v>
          </cell>
          <cell r="B676" t="str">
            <v>VAR_ncap</v>
          </cell>
          <cell r="C676" t="str">
            <v>-</v>
          </cell>
          <cell r="I676">
            <v>1.15652315159321E-8</v>
          </cell>
          <cell r="J676">
            <v>1.5330180921375501E-8</v>
          </cell>
        </row>
        <row r="677">
          <cell r="A677" t="str">
            <v>T_C-FC-H2O-S2</v>
          </cell>
          <cell r="B677" t="str">
            <v>VAR_cap</v>
          </cell>
          <cell r="C677" t="str">
            <v>-</v>
          </cell>
          <cell r="H677">
            <v>9.2737115901479893E-9</v>
          </cell>
          <cell r="I677">
            <v>1.2486457404142751E-8</v>
          </cell>
          <cell r="J677">
            <v>1.8932348640120601E-8</v>
          </cell>
        </row>
        <row r="678">
          <cell r="A678" t="str">
            <v>T_B_c-ICEDSL-S2</v>
          </cell>
          <cell r="B678" t="str">
            <v>VAR_fout</v>
          </cell>
          <cell r="C678" t="str">
            <v>CO2_T</v>
          </cell>
          <cell r="H678">
            <v>18.725567689166599</v>
          </cell>
          <cell r="I678">
            <v>3.3798874593118535</v>
          </cell>
          <cell r="J678">
            <v>3.1226797770813719E-2</v>
          </cell>
        </row>
        <row r="679">
          <cell r="A679" t="str">
            <v>T_B_c-ICEDSL-S2</v>
          </cell>
          <cell r="B679" t="str">
            <v>VAR_fout</v>
          </cell>
          <cell r="C679" t="str">
            <v>TPBSc</v>
          </cell>
          <cell r="H679">
            <v>2.6284675377592204E-2</v>
          </cell>
          <cell r="I679">
            <v>4.7541753170582401E-3</v>
          </cell>
          <cell r="J679">
            <v>4.8211368414955088E-5</v>
          </cell>
        </row>
        <row r="680">
          <cell r="A680" t="str">
            <v>T_B_c-ICEDSL-S2</v>
          </cell>
          <cell r="B680" t="str">
            <v>VAR_fin</v>
          </cell>
          <cell r="C680" t="str">
            <v>TDSL</v>
          </cell>
          <cell r="H680">
            <v>0.2554647706571162</v>
          </cell>
          <cell r="I680">
            <v>4.6110333687747057E-2</v>
          </cell>
          <cell r="J680">
            <v>4.2601361215298422E-4</v>
          </cell>
        </row>
        <row r="681">
          <cell r="A681" t="str">
            <v>T_B_c-ICEDSL-S2</v>
          </cell>
          <cell r="B681" t="str">
            <v>VAR_ncap</v>
          </cell>
          <cell r="C681" t="str">
            <v>-</v>
          </cell>
          <cell r="H681">
            <v>4.1094272204630398E-7</v>
          </cell>
          <cell r="I681">
            <v>2.0034301195161902E-6</v>
          </cell>
        </row>
        <row r="682">
          <cell r="A682" t="str">
            <v>T_B_c-ICEDSL-S2</v>
          </cell>
          <cell r="B682" t="str">
            <v>VAR_cap</v>
          </cell>
          <cell r="C682" t="str">
            <v>-</v>
          </cell>
          <cell r="H682">
            <v>5.7125508173872625E-4</v>
          </cell>
          <cell r="I682">
            <v>1.03345920952966E-4</v>
          </cell>
          <cell r="J682">
            <v>1.07684658093478E-6</v>
          </cell>
        </row>
        <row r="683">
          <cell r="A683" t="str">
            <v>T_TW-FCLH2O-S1</v>
          </cell>
          <cell r="B683" t="str">
            <v>VAR_fout</v>
          </cell>
          <cell r="C683" t="str">
            <v>TPTWL</v>
          </cell>
          <cell r="H683">
            <v>7.280235142950507E-5</v>
          </cell>
          <cell r="I683">
            <v>1.0636359273795507E-4</v>
          </cell>
          <cell r="J683">
            <v>8.1469442699719225E-5</v>
          </cell>
        </row>
        <row r="684">
          <cell r="A684" t="str">
            <v>T_TW-FCLH2O-S1</v>
          </cell>
          <cell r="B684" t="str">
            <v>VAR_fin</v>
          </cell>
          <cell r="C684" t="str">
            <v>TH2O</v>
          </cell>
          <cell r="H684">
            <v>1.5529928959353892E-5</v>
          </cell>
          <cell r="I684">
            <v>2.2396437883214304E-5</v>
          </cell>
          <cell r="J684">
            <v>1.674037791134324E-5</v>
          </cell>
        </row>
        <row r="685">
          <cell r="A685" t="str">
            <v>T_TW-FCLH2O-S1</v>
          </cell>
          <cell r="B685" t="str">
            <v>VAR_ncap</v>
          </cell>
          <cell r="C685" t="str">
            <v>-</v>
          </cell>
          <cell r="H685">
            <v>1.8178490310956601E-5</v>
          </cell>
          <cell r="I685">
            <v>2.0883508678190501E-5</v>
          </cell>
          <cell r="J685">
            <v>1.8968465885939499E-5</v>
          </cell>
        </row>
        <row r="686">
          <cell r="A686" t="str">
            <v>T_TW-FCLH2O-S1</v>
          </cell>
          <cell r="B686" t="str">
            <v>VAR_cap</v>
          </cell>
          <cell r="C686" t="str">
            <v>-</v>
          </cell>
          <cell r="H686">
            <v>2.7841520754732799E-5</v>
          </cell>
          <cell r="I686">
            <v>4.0769379231474805E-5</v>
          </cell>
          <cell r="J686">
            <v>3.2626770519575894E-5</v>
          </cell>
        </row>
        <row r="687">
          <cell r="A687" t="str">
            <v>D-T-ELC-TW_Bat_S1</v>
          </cell>
          <cell r="B687" t="str">
            <v>VAR_fout</v>
          </cell>
          <cell r="C687" t="str">
            <v>T-ELC-TWSTGin_S1</v>
          </cell>
          <cell r="H687">
            <v>5.4226777933287615E-4</v>
          </cell>
          <cell r="I687">
            <v>2.9677911982050175E-2</v>
          </cell>
          <cell r="J687">
            <v>0.13863271601775845</v>
          </cell>
        </row>
        <row r="688">
          <cell r="A688" t="str">
            <v>D-T-ELC-TW_Bat_S1</v>
          </cell>
          <cell r="B688" t="str">
            <v>VAR_fin</v>
          </cell>
          <cell r="C688" t="str">
            <v>TELC</v>
          </cell>
          <cell r="H688">
            <v>5.4226777933287615E-4</v>
          </cell>
          <cell r="I688">
            <v>2.9677911982050175E-2</v>
          </cell>
          <cell r="J688">
            <v>0.13863271601775845</v>
          </cell>
        </row>
        <row r="689">
          <cell r="A689" t="str">
            <v>D-T-ELC-TW_Bat_S1</v>
          </cell>
          <cell r="B689" t="str">
            <v>VAR_ncap</v>
          </cell>
          <cell r="C689" t="str">
            <v>-</v>
          </cell>
          <cell r="H689">
            <v>5.08014750753508E-5</v>
          </cell>
          <cell r="I689">
            <v>3.08503540900221E-3</v>
          </cell>
          <cell r="J689">
            <v>1.30973292686388E-2</v>
          </cell>
        </row>
        <row r="690">
          <cell r="A690" t="str">
            <v>D-T-ELC-TW_Bat_S1</v>
          </cell>
          <cell r="B690" t="str">
            <v>VAR_cap</v>
          </cell>
          <cell r="C690" t="str">
            <v>-</v>
          </cell>
          <cell r="H690">
            <v>5.7378643262869598E-5</v>
          </cell>
          <cell r="I690">
            <v>3.13696886391543E-3</v>
          </cell>
          <cell r="J690">
            <v>1.4653405927602701E-2</v>
          </cell>
        </row>
        <row r="691">
          <cell r="A691" t="str">
            <v>T_C-FC-H2O-S3</v>
          </cell>
          <cell r="B691" t="str">
            <v>VAR_fout</v>
          </cell>
          <cell r="C691" t="str">
            <v>TPCAR</v>
          </cell>
        </row>
        <row r="692">
          <cell r="A692" t="str">
            <v>T_C-FC-H2O-S3</v>
          </cell>
          <cell r="B692" t="str">
            <v>VAR_fin</v>
          </cell>
          <cell r="C692" t="str">
            <v>TH2O</v>
          </cell>
        </row>
        <row r="693">
          <cell r="A693" t="str">
            <v>T_C-FC-H2O-S3</v>
          </cell>
          <cell r="B693" t="str">
            <v>VAR_ncap</v>
          </cell>
          <cell r="C693" t="str">
            <v>-</v>
          </cell>
          <cell r="I693">
            <v>1.0631110775343299E-8</v>
          </cell>
          <cell r="J693">
            <v>1.55374973787012E-8</v>
          </cell>
        </row>
        <row r="694">
          <cell r="A694" t="str">
            <v>T_C-FC-H2O-S3</v>
          </cell>
          <cell r="B694" t="str">
            <v>VAR_cap</v>
          </cell>
          <cell r="C694" t="str">
            <v>-</v>
          </cell>
          <cell r="H694">
            <v>1.1794515875186782E-8</v>
          </cell>
          <cell r="I694">
            <v>1.1358228049318169E-8</v>
          </cell>
          <cell r="J694">
            <v>1.8636901714768E-8</v>
          </cell>
        </row>
        <row r="695">
          <cell r="A695" t="str">
            <v>T_B_c-ICEDSL-S3</v>
          </cell>
          <cell r="B695" t="str">
            <v>VAR_fout</v>
          </cell>
          <cell r="C695" t="str">
            <v>CO2_T</v>
          </cell>
          <cell r="H695">
            <v>8.8168758966639302</v>
          </cell>
          <cell r="I695">
            <v>8.1432835826085892</v>
          </cell>
          <cell r="J695">
            <v>1.91410313823663</v>
          </cell>
        </row>
        <row r="696">
          <cell r="A696" t="str">
            <v>T_B_c-ICEDSL-S3</v>
          </cell>
          <cell r="B696" t="str">
            <v>VAR_fout</v>
          </cell>
          <cell r="C696" t="str">
            <v>TPBSc</v>
          </cell>
          <cell r="H696">
            <v>8.3223601173949852E-3</v>
          </cell>
          <cell r="I696">
            <v>8.229187051771553E-3</v>
          </cell>
          <cell r="J696">
            <v>1.9629489964429372E-3</v>
          </cell>
        </row>
        <row r="697">
          <cell r="A697" t="str">
            <v>T_B_c-ICEDSL-S3</v>
          </cell>
          <cell r="B697" t="str">
            <v>VAR_fin</v>
          </cell>
          <cell r="C697" t="str">
            <v>TDSL</v>
          </cell>
          <cell r="H697">
            <v>0.12028480077304131</v>
          </cell>
          <cell r="I697">
            <v>0.11109527397828918</v>
          </cell>
          <cell r="J697">
            <v>2.6113276101454679E-2</v>
          </cell>
        </row>
        <row r="698">
          <cell r="A698" t="str">
            <v>T_B_c-ICEDSL-S3</v>
          </cell>
          <cell r="B698" t="str">
            <v>VAR_ncap</v>
          </cell>
          <cell r="C698" t="str">
            <v>-</v>
          </cell>
          <cell r="H698">
            <v>5.4289404245192098E-5</v>
          </cell>
          <cell r="I698">
            <v>1.2454187342737601E-4</v>
          </cell>
        </row>
        <row r="699">
          <cell r="A699" t="str">
            <v>T_B_c-ICEDSL-S3</v>
          </cell>
          <cell r="B699" t="str">
            <v>VAR_cap</v>
          </cell>
          <cell r="C699" t="str">
            <v>-</v>
          </cell>
          <cell r="H699">
            <v>1.80863142112676E-4</v>
          </cell>
          <cell r="I699">
            <v>1.78831277672568E-4</v>
          </cell>
          <cell r="J699">
            <v>4.2658237758220999E-5</v>
          </cell>
        </row>
        <row r="700">
          <cell r="A700" t="str">
            <v>T_TW-FCLH2O-S2</v>
          </cell>
          <cell r="B700" t="str">
            <v>VAR_fout</v>
          </cell>
          <cell r="C700" t="str">
            <v>TPTWL</v>
          </cell>
          <cell r="H700">
            <v>3.128605978686962E-5</v>
          </cell>
          <cell r="I700">
            <v>4.1991290400406804E-5</v>
          </cell>
          <cell r="J700">
            <v>3.0234091516590979E-5</v>
          </cell>
        </row>
        <row r="701">
          <cell r="A701" t="str">
            <v>T_TW-FCLH2O-S2</v>
          </cell>
          <cell r="B701" t="str">
            <v>VAR_fin</v>
          </cell>
          <cell r="C701" t="str">
            <v>TH2O</v>
          </cell>
          <cell r="H701">
            <v>1.1478905636680763E-5</v>
          </cell>
          <cell r="I701">
            <v>1.5259588690536095E-5</v>
          </cell>
          <cell r="J701">
            <v>1.0764895165023989E-5</v>
          </cell>
        </row>
        <row r="702">
          <cell r="A702" t="str">
            <v>T_TW-FCLH2O-S2</v>
          </cell>
          <cell r="B702" t="str">
            <v>VAR_ncap</v>
          </cell>
          <cell r="C702" t="str">
            <v>-</v>
          </cell>
          <cell r="H702">
            <v>7.4823199042924497E-6</v>
          </cell>
          <cell r="I702">
            <v>6.74091140877137E-6</v>
          </cell>
          <cell r="J702">
            <v>5.37508927452749E-6</v>
          </cell>
        </row>
        <row r="703">
          <cell r="A703" t="str">
            <v>T_TW-FCLH2O-S2</v>
          </cell>
          <cell r="B703" t="str">
            <v>VAR_cap</v>
          </cell>
          <cell r="C703" t="str">
            <v>-</v>
          </cell>
          <cell r="H703">
            <v>1.2306496806725E-5</v>
          </cell>
          <cell r="I703">
            <v>1.6719014092129987E-5</v>
          </cell>
          <cell r="J703">
            <v>1.2333720353768309E-5</v>
          </cell>
        </row>
        <row r="704">
          <cell r="A704" t="str">
            <v>D-T-ELC-TW_Bat_S2</v>
          </cell>
          <cell r="B704" t="str">
            <v>VAR_fout</v>
          </cell>
          <cell r="C704" t="str">
            <v>T-ELC-TWSTGin_S2</v>
          </cell>
          <cell r="H704">
            <v>5.3043551990335377E-4</v>
          </cell>
          <cell r="I704">
            <v>4.9178606492099233E-4</v>
          </cell>
          <cell r="J704">
            <v>2.8272685852805764E-4</v>
          </cell>
        </row>
        <row r="705">
          <cell r="A705" t="str">
            <v>D-T-ELC-TW_Bat_S2</v>
          </cell>
          <cell r="B705" t="str">
            <v>VAR_fin</v>
          </cell>
          <cell r="C705" t="str">
            <v>TELC</v>
          </cell>
          <cell r="H705">
            <v>5.3043551990335377E-4</v>
          </cell>
          <cell r="I705">
            <v>4.9178606492099233E-4</v>
          </cell>
          <cell r="J705">
            <v>2.8272685852805764E-4</v>
          </cell>
        </row>
        <row r="706">
          <cell r="A706" t="str">
            <v>D-T-ELC-TW_Bat_S2</v>
          </cell>
          <cell r="B706" t="str">
            <v>VAR_ncap</v>
          </cell>
          <cell r="C706" t="str">
            <v>-</v>
          </cell>
          <cell r="H706">
            <v>4.9372351816632102E-5</v>
          </cell>
          <cell r="I706">
            <v>1.4254265339006499E-7</v>
          </cell>
          <cell r="J706">
            <v>1.2916488985364999E-5</v>
          </cell>
        </row>
        <row r="707">
          <cell r="A707" t="str">
            <v>D-T-ELC-TW_Bat_S2</v>
          </cell>
          <cell r="B707" t="str">
            <v>VAR_cap</v>
          </cell>
          <cell r="C707" t="str">
            <v>-</v>
          </cell>
          <cell r="H707">
            <v>5.6112413381795002E-5</v>
          </cell>
          <cell r="I707">
            <v>5.2047649941078799E-5</v>
          </cell>
          <cell r="J707">
            <v>2.9920624403881001E-5</v>
          </cell>
        </row>
        <row r="708">
          <cell r="A708" t="str">
            <v>T_C-FC-H2O-S4</v>
          </cell>
          <cell r="B708" t="str">
            <v>VAR_fout</v>
          </cell>
          <cell r="C708" t="str">
            <v>TPCAR</v>
          </cell>
        </row>
        <row r="709">
          <cell r="A709" t="str">
            <v>T_C-FC-H2O-S4</v>
          </cell>
          <cell r="B709" t="str">
            <v>VAR_fin</v>
          </cell>
          <cell r="C709" t="str">
            <v>TH2O</v>
          </cell>
        </row>
        <row r="710">
          <cell r="A710" t="str">
            <v>T_C-FC-H2O-S4</v>
          </cell>
          <cell r="B710" t="str">
            <v>VAR_ncap</v>
          </cell>
          <cell r="C710" t="str">
            <v>-</v>
          </cell>
          <cell r="I710">
            <v>1.10401288288368E-8</v>
          </cell>
          <cell r="J710">
            <v>1.4850523988868901E-8</v>
          </cell>
        </row>
        <row r="711">
          <cell r="A711" t="str">
            <v>T_C-FC-H2O-S4</v>
          </cell>
          <cell r="B711" t="str">
            <v>VAR_cap</v>
          </cell>
          <cell r="C711" t="str">
            <v>-</v>
          </cell>
          <cell r="H711">
            <v>8.8425537900190156E-9</v>
          </cell>
          <cell r="I711">
            <v>1.1943567017515851E-8</v>
          </cell>
          <cell r="J711">
            <v>1.8257432623480202E-8</v>
          </cell>
        </row>
        <row r="712">
          <cell r="A712" t="str">
            <v>T_B_c-ICEDSL-S4</v>
          </cell>
          <cell r="B712" t="str">
            <v>VAR_fout</v>
          </cell>
          <cell r="C712" t="str">
            <v>CO2_T</v>
          </cell>
          <cell r="H712">
            <v>1.32457404001331E-4</v>
          </cell>
          <cell r="I712">
            <v>1.3382102457885401E-4</v>
          </cell>
        </row>
        <row r="713">
          <cell r="A713" t="str">
            <v>T_B_c-ICEDSL-S4</v>
          </cell>
          <cell r="B713" t="str">
            <v>VAR_fout</v>
          </cell>
          <cell r="C713" t="str">
            <v>TPBSc</v>
          </cell>
          <cell r="H713">
            <v>8.6595111469295198E-8</v>
          </cell>
          <cell r="I713">
            <v>9.1787269758526405E-8</v>
          </cell>
        </row>
        <row r="714">
          <cell r="A714" t="str">
            <v>T_B_c-ICEDSL-S4</v>
          </cell>
          <cell r="B714" t="str">
            <v>VAR_fin</v>
          </cell>
          <cell r="C714" t="str">
            <v>TDSL</v>
          </cell>
          <cell r="H714">
            <v>1.8070587176170619E-6</v>
          </cell>
          <cell r="I714">
            <v>1.8256619997115209E-6</v>
          </cell>
        </row>
        <row r="715">
          <cell r="A715" t="str">
            <v>T_B_c-ICEDSL-S4</v>
          </cell>
          <cell r="B715" t="str">
            <v>VAR_ncap</v>
          </cell>
          <cell r="C715" t="str">
            <v>-</v>
          </cell>
          <cell r="H715">
            <v>1.4608071682064E-8</v>
          </cell>
          <cell r="I715">
            <v>1.5723777570736101E-8</v>
          </cell>
        </row>
        <row r="716">
          <cell r="A716" t="str">
            <v>T_B_c-ICEDSL-S4</v>
          </cell>
          <cell r="B716" t="str">
            <v>VAR_cap</v>
          </cell>
          <cell r="C716" t="str">
            <v>-</v>
          </cell>
          <cell r="H716">
            <v>1.7599053115457501E-8</v>
          </cell>
          <cell r="I716">
            <v>2.5700890540055999E-8</v>
          </cell>
          <cell r="J716">
            <v>2.7593442837417401E-9</v>
          </cell>
        </row>
        <row r="717">
          <cell r="A717" t="str">
            <v>D-T-ELC-HGV</v>
          </cell>
          <cell r="B717" t="str">
            <v>VAR_fout</v>
          </cell>
          <cell r="C717" t="str">
            <v>T-ELC-HGV_BatSTGin</v>
          </cell>
          <cell r="H717">
            <v>1.4804584597044907</v>
          </cell>
          <cell r="I717">
            <v>2.6912104921803586</v>
          </cell>
          <cell r="J717">
            <v>7.9199926208286984</v>
          </cell>
        </row>
        <row r="718">
          <cell r="A718" t="str">
            <v>D-T-ELC-HGV</v>
          </cell>
          <cell r="B718" t="str">
            <v>VAR_fin</v>
          </cell>
          <cell r="C718" t="str">
            <v>TELC</v>
          </cell>
          <cell r="H718">
            <v>1.4804584597044907</v>
          </cell>
          <cell r="I718">
            <v>2.6912104921803586</v>
          </cell>
          <cell r="J718">
            <v>7.9199926208286984</v>
          </cell>
        </row>
        <row r="719">
          <cell r="A719" t="str">
            <v>D-T-ELC-HGV</v>
          </cell>
          <cell r="B719" t="str">
            <v>VAR_ncap</v>
          </cell>
          <cell r="C719" t="str">
            <v>-</v>
          </cell>
          <cell r="H719">
            <v>0.18687398695858601</v>
          </cell>
          <cell r="I719">
            <v>0.21221209172252101</v>
          </cell>
          <cell r="J719">
            <v>0.96484977307514197</v>
          </cell>
        </row>
        <row r="720">
          <cell r="A720" t="str">
            <v>D-T-ELC-HGV</v>
          </cell>
          <cell r="B720" t="str">
            <v>VAR_cap</v>
          </cell>
          <cell r="C720" t="str">
            <v>-</v>
          </cell>
          <cell r="H720">
            <v>0.18687760367824799</v>
          </cell>
          <cell r="I720">
            <v>0.33984446644602601</v>
          </cell>
          <cell r="J720">
            <v>1.00209058366287</v>
          </cell>
        </row>
        <row r="721">
          <cell r="A721" t="str">
            <v>T_TW-FCLH2O-S3</v>
          </cell>
          <cell r="B721" t="str">
            <v>VAR_fout</v>
          </cell>
          <cell r="C721" t="str">
            <v>TPTWL</v>
          </cell>
          <cell r="H721">
            <v>1.4974614795629452E-5</v>
          </cell>
          <cell r="I721">
            <v>2.1630495774263173E-5</v>
          </cell>
          <cell r="J721">
            <v>2.0515726575176115E-5</v>
          </cell>
        </row>
        <row r="722">
          <cell r="A722" t="str">
            <v>T_TW-FCLH2O-S3</v>
          </cell>
          <cell r="B722" t="str">
            <v>VAR_fin</v>
          </cell>
          <cell r="C722" t="str">
            <v>TH2O</v>
          </cell>
          <cell r="H722">
            <v>8.4333256710994839E-6</v>
          </cell>
          <cell r="I722">
            <v>1.2092887599338743E-5</v>
          </cell>
          <cell r="J722">
            <v>1.125527708683761E-5</v>
          </cell>
        </row>
        <row r="723">
          <cell r="A723" t="str">
            <v>T_TW-FCLH2O-S3</v>
          </cell>
          <cell r="B723" t="str">
            <v>VAR_ncap</v>
          </cell>
          <cell r="C723" t="str">
            <v>-</v>
          </cell>
          <cell r="H723">
            <v>3.2163969574601402E-6</v>
          </cell>
          <cell r="I723">
            <v>2.8114201061590598E-6</v>
          </cell>
          <cell r="J723">
            <v>2.6994604004203101E-6</v>
          </cell>
        </row>
        <row r="724">
          <cell r="A724" t="str">
            <v>T_TW-FCLH2O-S3</v>
          </cell>
          <cell r="B724" t="str">
            <v>VAR_cap</v>
          </cell>
          <cell r="C724" t="str">
            <v>-</v>
          </cell>
          <cell r="H724">
            <v>6.1222742832849696E-6</v>
          </cell>
          <cell r="I724">
            <v>8.9336943894440303E-6</v>
          </cell>
          <cell r="J724">
            <v>8.8295322477649805E-6</v>
          </cell>
        </row>
        <row r="725">
          <cell r="A725" t="str">
            <v>D-T-ELC-TW_Bat_S3</v>
          </cell>
          <cell r="B725" t="str">
            <v>VAR_fout</v>
          </cell>
          <cell r="C725" t="str">
            <v>T-ELC-TWSTGin_S3</v>
          </cell>
          <cell r="H725">
            <v>8.5004524139928935E-4</v>
          </cell>
          <cell r="I725">
            <v>7.5092402111423724E-4</v>
          </cell>
          <cell r="J725">
            <v>4.6936547857778674E-4</v>
          </cell>
        </row>
        <row r="726">
          <cell r="A726" t="str">
            <v>D-T-ELC-TW_Bat_S3</v>
          </cell>
          <cell r="B726" t="str">
            <v>VAR_fin</v>
          </cell>
          <cell r="C726" t="str">
            <v>TELC</v>
          </cell>
          <cell r="H726">
            <v>8.5004524139928935E-4</v>
          </cell>
          <cell r="I726">
            <v>7.5092402111423724E-4</v>
          </cell>
          <cell r="J726">
            <v>4.6936547857778674E-4</v>
          </cell>
        </row>
        <row r="727">
          <cell r="A727" t="str">
            <v>D-T-ELC-TW_Bat_S3</v>
          </cell>
          <cell r="B727" t="str">
            <v>VAR_ncap</v>
          </cell>
          <cell r="C727" t="str">
            <v>-</v>
          </cell>
          <cell r="H727">
            <v>5.6348016833000302E-5</v>
          </cell>
          <cell r="I727">
            <v>4.8261490795442298E-7</v>
          </cell>
          <cell r="J727">
            <v>1.91611194796543E-7</v>
          </cell>
        </row>
        <row r="728">
          <cell r="A728" t="str">
            <v>D-T-ELC-TW_Bat_S3</v>
          </cell>
          <cell r="B728" t="str">
            <v>VAR_cap</v>
          </cell>
          <cell r="C728" t="str">
            <v>-</v>
          </cell>
          <cell r="H728">
            <v>8.9906131367883602E-5</v>
          </cell>
          <cell r="I728">
            <v>7.9413920734489296E-5</v>
          </cell>
          <cell r="J728">
            <v>4.9662357342862698E-5</v>
          </cell>
        </row>
        <row r="729">
          <cell r="A729" t="str">
            <v>T_TW-FCLH2O-S4</v>
          </cell>
          <cell r="B729" t="str">
            <v>VAR_fout</v>
          </cell>
          <cell r="C729" t="str">
            <v>TPTWL</v>
          </cell>
          <cell r="H729">
            <v>7.3581221818215413E-6</v>
          </cell>
          <cell r="I729">
            <v>1.1077577494921867E-5</v>
          </cell>
          <cell r="J729">
            <v>1.3128077702287122E-5</v>
          </cell>
        </row>
        <row r="730">
          <cell r="A730" t="str">
            <v>T_TW-FCLH2O-S4</v>
          </cell>
          <cell r="B730" t="str">
            <v>VAR_fin</v>
          </cell>
          <cell r="C730" t="str">
            <v>TH2O</v>
          </cell>
          <cell r="H730">
            <v>4.6640105428434907E-6</v>
          </cell>
          <cell r="I730">
            <v>6.9591945742076817E-6</v>
          </cell>
          <cell r="J730">
            <v>8.1185668075062149E-6</v>
          </cell>
        </row>
        <row r="731">
          <cell r="A731" t="str">
            <v>T_TW-FCLH2O-S4</v>
          </cell>
          <cell r="B731" t="str">
            <v>VAR_ncap</v>
          </cell>
          <cell r="C731" t="str">
            <v>-</v>
          </cell>
          <cell r="H731">
            <v>1.7426838855917399E-6</v>
          </cell>
          <cell r="I731">
            <v>1.65897220393071E-6</v>
          </cell>
          <cell r="J731">
            <v>1.5521607954483601E-6</v>
          </cell>
        </row>
        <row r="732">
          <cell r="A732" t="str">
            <v>T_TW-FCLH2O-S4</v>
          </cell>
          <cell r="B732" t="str">
            <v>VAR_cap</v>
          </cell>
          <cell r="C732" t="str">
            <v>-</v>
          </cell>
          <cell r="H732">
            <v>3.2314615867505399E-6</v>
          </cell>
          <cell r="I732">
            <v>4.8904337906812404E-6</v>
          </cell>
          <cell r="J732">
            <v>5.9257335340645098E-6</v>
          </cell>
        </row>
        <row r="733">
          <cell r="A733" t="str">
            <v>D-T-ELC-TW_Bat_S4</v>
          </cell>
          <cell r="B733" t="str">
            <v>VAR_fout</v>
          </cell>
          <cell r="C733" t="str">
            <v>T-ELC-TWSTGin_S4</v>
          </cell>
          <cell r="H733">
            <v>8.5713752248225213E-4</v>
          </cell>
          <cell r="I733">
            <v>8.6381385265664066E-4</v>
          </cell>
          <cell r="J733">
            <v>6.9568694427775456E-4</v>
          </cell>
        </row>
        <row r="734">
          <cell r="A734" t="str">
            <v>D-T-ELC-TW_Bat_S4</v>
          </cell>
          <cell r="B734" t="str">
            <v>VAR_fin</v>
          </cell>
          <cell r="C734" t="str">
            <v>TELC</v>
          </cell>
          <cell r="H734">
            <v>8.5713752248225213E-4</v>
          </cell>
          <cell r="I734">
            <v>8.6381385265664066E-4</v>
          </cell>
          <cell r="J734">
            <v>6.9568694427775456E-4</v>
          </cell>
        </row>
        <row r="735">
          <cell r="A735" t="str">
            <v>D-T-ELC-TW_Bat_S4</v>
          </cell>
          <cell r="B735" t="str">
            <v>VAR_ncap</v>
          </cell>
          <cell r="C735" t="str">
            <v>-</v>
          </cell>
          <cell r="H735">
            <v>6.2368378154340506E-5</v>
          </cell>
          <cell r="I735">
            <v>6.9725625222392395E-7</v>
          </cell>
          <cell r="J735">
            <v>5.7183145722275002E-7</v>
          </cell>
        </row>
        <row r="736">
          <cell r="A736" t="str">
            <v>D-T-ELC-TW_Bat_S4</v>
          </cell>
          <cell r="B736" t="str">
            <v>VAR_cap</v>
          </cell>
          <cell r="C736" t="str">
            <v>-</v>
          </cell>
          <cell r="H736">
            <v>9.0656893581756096E-5</v>
          </cell>
          <cell r="I736">
            <v>9.1354149833980001E-5</v>
          </cell>
          <cell r="J736">
            <v>7.3578993676601105E-5</v>
          </cell>
        </row>
        <row r="737">
          <cell r="A737" t="str">
            <v>T_B_u-ICENGA-S1</v>
          </cell>
          <cell r="B737" t="str">
            <v>VAR_fout</v>
          </cell>
          <cell r="C737" t="str">
            <v>CO2_T</v>
          </cell>
          <cell r="H737">
            <v>5.5414416239052459E-2</v>
          </cell>
          <cell r="I737">
            <v>7.1206311081252072E-3</v>
          </cell>
          <cell r="J737">
            <v>1.8566116012121898E-3</v>
          </cell>
        </row>
        <row r="738">
          <cell r="A738" t="str">
            <v>T_B_u-ICENGA-S1</v>
          </cell>
          <cell r="B738" t="str">
            <v>VAR_fout</v>
          </cell>
          <cell r="C738" t="str">
            <v>TPBSu</v>
          </cell>
          <cell r="H738">
            <v>1.4226445855510482E-4</v>
          </cell>
          <cell r="I738">
            <v>1.8887856153035525E-5</v>
          </cell>
          <cell r="J738">
            <v>5.000481147643209E-6</v>
          </cell>
        </row>
        <row r="739">
          <cell r="A739" t="str">
            <v>T_B_u-ICENGA-S1</v>
          </cell>
          <cell r="B739" t="str">
            <v>VAR_fin</v>
          </cell>
          <cell r="C739" t="str">
            <v>TNGA</v>
          </cell>
          <cell r="H739">
            <v>9.8252511062149692E-4</v>
          </cell>
          <cell r="I739">
            <v>1.2625232461214894E-4</v>
          </cell>
          <cell r="J739">
            <v>3.2918645411563724E-5</v>
          </cell>
        </row>
        <row r="740">
          <cell r="A740" t="str">
            <v>T_B_u-ICENGA-S1</v>
          </cell>
          <cell r="B740" t="str">
            <v>VAR_ncap</v>
          </cell>
          <cell r="C740" t="str">
            <v>-</v>
          </cell>
          <cell r="H740">
            <v>2.6378064970354599E-6</v>
          </cell>
          <cell r="I740">
            <v>2.35767034518264E-7</v>
          </cell>
        </row>
        <row r="741">
          <cell r="A741" t="str">
            <v>T_B_u-ICENGA-S1</v>
          </cell>
          <cell r="B741" t="str">
            <v>VAR_cap</v>
          </cell>
          <cell r="C741" t="str">
            <v>-</v>
          </cell>
          <cell r="H741">
            <v>2.80545504102574E-6</v>
          </cell>
          <cell r="I741">
            <v>4.1657321430483021E-7</v>
          </cell>
          <cell r="J741">
            <v>1.3326635015875295E-7</v>
          </cell>
        </row>
        <row r="742">
          <cell r="A742" t="str">
            <v>T_B_u-ICENGA-S2</v>
          </cell>
          <cell r="B742" t="str">
            <v>VAR_fout</v>
          </cell>
          <cell r="C742" t="str">
            <v>CO2_T</v>
          </cell>
          <cell r="H742">
            <v>1.2596128621572611E-2</v>
          </cell>
          <cell r="I742">
            <v>1.1285015500593441E-2</v>
          </cell>
          <cell r="J742">
            <v>2.964365300691264E-3</v>
          </cell>
        </row>
        <row r="743">
          <cell r="A743" t="str">
            <v>T_B_u-ICENGA-S2</v>
          </cell>
          <cell r="B743" t="str">
            <v>VAR_fout</v>
          </cell>
          <cell r="C743" t="str">
            <v>TPBSu</v>
          </cell>
          <cell r="H743">
            <v>2.1610044542705775E-5</v>
          </cell>
          <cell r="I743">
            <v>2.0858777495656807E-5</v>
          </cell>
          <cell r="J743">
            <v>5.5707123920047323E-6</v>
          </cell>
        </row>
        <row r="744">
          <cell r="A744" t="str">
            <v>T_B_u-ICENGA-S2</v>
          </cell>
          <cell r="B744" t="str">
            <v>VAR_fin</v>
          </cell>
          <cell r="C744" t="str">
            <v>TNGA</v>
          </cell>
          <cell r="H744">
            <v>2.2333561385767036E-4</v>
          </cell>
          <cell r="I744">
            <v>2.0008892731548637E-4</v>
          </cell>
          <cell r="J744">
            <v>5.2559668451972779E-5</v>
          </cell>
        </row>
        <row r="745">
          <cell r="A745" t="str">
            <v>T_B_u-ICENGA-S2</v>
          </cell>
          <cell r="B745" t="str">
            <v>VAR_ncap</v>
          </cell>
          <cell r="C745" t="str">
            <v>-</v>
          </cell>
          <cell r="H745">
            <v>1.91300050821522E-7</v>
          </cell>
          <cell r="I745">
            <v>2.15415208567831E-7</v>
          </cell>
        </row>
        <row r="746">
          <cell r="A746" t="str">
            <v>T_B_u-ICENGA-S2</v>
          </cell>
          <cell r="B746" t="str">
            <v>VAR_cap</v>
          </cell>
          <cell r="C746" t="str">
            <v>-</v>
          </cell>
          <cell r="H746">
            <v>4.5959204644122201E-7</v>
          </cell>
          <cell r="I746">
            <v>4.3202499957395202E-7</v>
          </cell>
          <cell r="J746">
            <v>1.3308303265769052E-7</v>
          </cell>
        </row>
        <row r="747">
          <cell r="A747" t="str">
            <v>T_B_c-ICEDSLEXT</v>
          </cell>
          <cell r="B747" t="str">
            <v>VAR_fout</v>
          </cell>
          <cell r="C747" t="str">
            <v>CO2_T</v>
          </cell>
        </row>
        <row r="748">
          <cell r="A748" t="str">
            <v>T_B_c-ICEDSLEXT</v>
          </cell>
          <cell r="B748" t="str">
            <v>VAR_fout</v>
          </cell>
          <cell r="C748" t="str">
            <v>TPBSc</v>
          </cell>
        </row>
        <row r="749">
          <cell r="A749" t="str">
            <v>T_B_c-ICEDSLEXT</v>
          </cell>
          <cell r="B749" t="str">
            <v>VAR_fin</v>
          </cell>
          <cell r="C749" t="str">
            <v>TDSL</v>
          </cell>
        </row>
        <row r="750">
          <cell r="A750" t="str">
            <v>T_B_c-ICEDSLEXT</v>
          </cell>
          <cell r="B750" t="str">
            <v>VAR_cap</v>
          </cell>
          <cell r="C750" t="str">
            <v>-</v>
          </cell>
        </row>
        <row r="751">
          <cell r="A751" t="str">
            <v>T_B_u-ICENGA-S3</v>
          </cell>
          <cell r="B751" t="str">
            <v>VAR_fout</v>
          </cell>
          <cell r="C751" t="str">
            <v>CO2_T</v>
          </cell>
          <cell r="H751">
            <v>0.55302149978811521</v>
          </cell>
          <cell r="I751">
            <v>0.66370040235971395</v>
          </cell>
          <cell r="J751">
            <v>3.93992072372195E-2</v>
          </cell>
        </row>
        <row r="752">
          <cell r="A752" t="str">
            <v>T_B_u-ICENGA-S3</v>
          </cell>
          <cell r="B752" t="str">
            <v>VAR_fout</v>
          </cell>
          <cell r="C752" t="str">
            <v>TPBSu</v>
          </cell>
          <cell r="H752">
            <v>6.6255608407649058E-4</v>
          </cell>
          <cell r="I752">
            <v>8.0242095653155674E-4</v>
          </cell>
          <cell r="J752">
            <v>4.9568997581374614E-5</v>
          </cell>
        </row>
        <row r="753">
          <cell r="A753" t="str">
            <v>T_B_u-ICENGA-S3</v>
          </cell>
          <cell r="B753" t="str">
            <v>VAR_fin</v>
          </cell>
          <cell r="C753" t="str">
            <v>TNGA</v>
          </cell>
          <cell r="H753">
            <v>9.8053457409240218E-3</v>
          </cell>
          <cell r="I753">
            <v>1.1767737630491376E-2</v>
          </cell>
          <cell r="J753">
            <v>6.9856750420601969E-4</v>
          </cell>
        </row>
        <row r="754">
          <cell r="A754" t="str">
            <v>T_B_u-ICENGA-S3</v>
          </cell>
          <cell r="B754" t="str">
            <v>VAR_ncap</v>
          </cell>
          <cell r="C754" t="str">
            <v>-</v>
          </cell>
          <cell r="H754">
            <v>1.23907747169067E-5</v>
          </cell>
          <cell r="I754">
            <v>2.7538243066831601E-6</v>
          </cell>
        </row>
        <row r="755">
          <cell r="A755" t="str">
            <v>T_B_u-ICENGA-S3</v>
          </cell>
          <cell r="B755" t="str">
            <v>VAR_cap</v>
          </cell>
          <cell r="C755" t="str">
            <v>-</v>
          </cell>
          <cell r="H755">
            <v>1.2515975849329499E-5</v>
          </cell>
          <cell r="I755">
            <v>1.5144599023589899E-5</v>
          </cell>
          <cell r="J755">
            <v>9.3925666076450945E-7</v>
          </cell>
        </row>
        <row r="756">
          <cell r="A756" t="str">
            <v>T_B_u-ICENGA-S4</v>
          </cell>
          <cell r="B756" t="str">
            <v>VAR_fout</v>
          </cell>
          <cell r="C756" t="str">
            <v>CO2_T</v>
          </cell>
          <cell r="H756">
            <v>1.13712431854635E-4</v>
          </cell>
          <cell r="I756">
            <v>5.2949364899110003E-5</v>
          </cell>
        </row>
        <row r="757">
          <cell r="A757" t="str">
            <v>T_B_u-ICENGA-S4</v>
          </cell>
          <cell r="B757" t="str">
            <v>VAR_fout</v>
          </cell>
          <cell r="C757" t="str">
            <v>TPBSu</v>
          </cell>
          <cell r="H757">
            <v>9.1212411202806904E-8</v>
          </cell>
          <cell r="I757">
            <v>4.45931030374568E-8</v>
          </cell>
        </row>
        <row r="758">
          <cell r="A758" t="str">
            <v>T_B_u-ICENGA-S4</v>
          </cell>
          <cell r="B758" t="str">
            <v>VAR_fin</v>
          </cell>
          <cell r="C758" t="str">
            <v>TNGA</v>
          </cell>
          <cell r="H758">
            <v>2.0161778697630288E-6</v>
          </cell>
          <cell r="I758">
            <v>9.3881852657996397E-7</v>
          </cell>
        </row>
        <row r="759">
          <cell r="A759" t="str">
            <v>T_B_u-ICENGA-S4</v>
          </cell>
          <cell r="B759" t="str">
            <v>VAR_ncap</v>
          </cell>
          <cell r="C759" t="str">
            <v>-</v>
          </cell>
          <cell r="H759">
            <v>1.30265522704311E-8</v>
          </cell>
          <cell r="I759">
            <v>1.20712695345146E-8</v>
          </cell>
        </row>
        <row r="760">
          <cell r="A760" t="str">
            <v>T_B_u-ICENGA-S4</v>
          </cell>
          <cell r="B760" t="str">
            <v>VAR_cap</v>
          </cell>
          <cell r="C760" t="str">
            <v>-</v>
          </cell>
          <cell r="H760">
            <v>1.30265522704311E-8</v>
          </cell>
          <cell r="I760">
            <v>2.0968226397234301E-8</v>
          </cell>
          <cell r="J760">
            <v>2.11837062930478E-9</v>
          </cell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76.249590196768196</v>
          </cell>
          <cell r="G9">
            <v>92.760914317457164</v>
          </cell>
          <cell r="H9">
            <v>145.87495495330009</v>
          </cell>
        </row>
        <row r="28">
          <cell r="F28">
            <v>0</v>
          </cell>
          <cell r="G28">
            <v>7.2453721071848104E-3</v>
          </cell>
          <cell r="H28">
            <v>44.245232746810736</v>
          </cell>
        </row>
      </sheetData>
      <sheetData sheetId="56"/>
      <sheetData sheetId="57"/>
      <sheetData sheetId="58">
        <row r="14">
          <cell r="F14">
            <v>55.37944016513427</v>
          </cell>
          <cell r="G14">
            <v>32.820799843264332</v>
          </cell>
          <cell r="H14">
            <v>0</v>
          </cell>
        </row>
        <row r="15">
          <cell r="F15">
            <v>71.92488130314247</v>
          </cell>
          <cell r="G15">
            <v>72.955947959382129</v>
          </cell>
          <cell r="H15">
            <v>74.836042114965252</v>
          </cell>
        </row>
        <row r="16">
          <cell r="F16">
            <v>63.393434092366533</v>
          </cell>
          <cell r="G16">
            <v>62.362367651452743</v>
          </cell>
          <cell r="H16">
            <v>60.482273607774367</v>
          </cell>
        </row>
        <row r="17">
          <cell r="F17">
            <v>12.886949921544957</v>
          </cell>
          <cell r="G17">
            <v>13.232531537642719</v>
          </cell>
          <cell r="H17">
            <v>13.58843621300951</v>
          </cell>
        </row>
        <row r="18">
          <cell r="F18">
            <v>6.140921848404369E-5</v>
          </cell>
          <cell r="G18">
            <v>2.871285290592835E-2</v>
          </cell>
          <cell r="H18">
            <v>0</v>
          </cell>
        </row>
        <row r="19">
          <cell r="F19">
            <v>7.4918602349670511</v>
          </cell>
          <cell r="G19">
            <v>5.163254998501591</v>
          </cell>
          <cell r="H19">
            <v>9.6431785060021886E-5</v>
          </cell>
        </row>
        <row r="20">
          <cell r="F20">
            <v>0</v>
          </cell>
          <cell r="G20">
            <v>2.5470914032010827</v>
          </cell>
          <cell r="H20">
            <v>8.5569469877835047</v>
          </cell>
        </row>
        <row r="21">
          <cell r="F21">
            <v>0</v>
          </cell>
          <cell r="G21">
            <v>0</v>
          </cell>
          <cell r="H21">
            <v>0.21319255362123887</v>
          </cell>
        </row>
        <row r="22">
          <cell r="F22">
            <v>0</v>
          </cell>
          <cell r="G22">
            <v>0</v>
          </cell>
          <cell r="H22">
            <v>0.15851204065887395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0.53255861027786888</v>
          </cell>
          <cell r="G25">
            <v>0.93567394216603617</v>
          </cell>
          <cell r="H25">
            <v>1.3488984752272071</v>
          </cell>
        </row>
        <row r="26">
          <cell r="F26">
            <v>1.4346819054907569</v>
          </cell>
          <cell r="G26">
            <v>1.0124474731500279</v>
          </cell>
          <cell r="H26">
            <v>0.1422847569461872</v>
          </cell>
        </row>
        <row r="27">
          <cell r="F27">
            <v>0</v>
          </cell>
          <cell r="G27">
            <v>0.42606207763196174</v>
          </cell>
          <cell r="H27">
            <v>1.3704458758392501</v>
          </cell>
        </row>
        <row r="28">
          <cell r="F28">
            <v>2.6437389980314461E-5</v>
          </cell>
          <cell r="G28">
            <v>0.14281501841808847</v>
          </cell>
          <cell r="H28">
            <v>0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8.7281819188900087E-2</v>
          </cell>
          <cell r="H30">
            <v>0.11156494629322866</v>
          </cell>
        </row>
        <row r="31">
          <cell r="F31">
            <v>0</v>
          </cell>
          <cell r="G31">
            <v>8.1467950437073537E-5</v>
          </cell>
          <cell r="H31">
            <v>5.1381461374829331E-4</v>
          </cell>
        </row>
        <row r="32">
          <cell r="F32">
            <v>0</v>
          </cell>
          <cell r="G32">
            <v>1.0845865364145085E-3</v>
          </cell>
          <cell r="H32">
            <v>6.6367826326417871</v>
          </cell>
        </row>
        <row r="33">
          <cell r="F33">
            <v>3.6358957293724981</v>
          </cell>
          <cell r="G33">
            <v>7.1993345093761221</v>
          </cell>
          <cell r="H33">
            <v>9.3572354223313248</v>
          </cell>
        </row>
        <row r="34">
          <cell r="F34">
            <v>1.3196983803416822</v>
          </cell>
          <cell r="G34">
            <v>3.4225365206050307</v>
          </cell>
          <cell r="H34">
            <v>18.178313356413419</v>
          </cell>
        </row>
        <row r="35">
          <cell r="F35">
            <v>27.72786324891058</v>
          </cell>
          <cell r="G35">
            <v>40.847646985549105</v>
          </cell>
          <cell r="H35">
            <v>50.935792746051874</v>
          </cell>
        </row>
        <row r="36">
          <cell r="F36">
            <v>11.801960342978287</v>
          </cell>
          <cell r="G36">
            <v>12.452152782480272</v>
          </cell>
          <cell r="H36">
            <v>13.862942911433937</v>
          </cell>
        </row>
        <row r="37">
          <cell r="F37">
            <v>1.7190229640527548</v>
          </cell>
          <cell r="G37">
            <v>1.8073620598594649</v>
          </cell>
          <cell r="H37">
            <v>1.9964528344576082</v>
          </cell>
        </row>
        <row r="38">
          <cell r="F38">
            <v>18.815542526532376</v>
          </cell>
          <cell r="G38">
            <v>31.805399099842173</v>
          </cell>
          <cell r="H38">
            <v>35.132947950287758</v>
          </cell>
        </row>
        <row r="39">
          <cell r="F39">
            <v>0.23162489491415714</v>
          </cell>
          <cell r="G39">
            <v>0.66889523659791428</v>
          </cell>
          <cell r="H39">
            <v>0.4243744255266344</v>
          </cell>
        </row>
        <row r="40">
          <cell r="F40">
            <v>0</v>
          </cell>
          <cell r="G40">
            <v>7.2497513464127295E-4</v>
          </cell>
          <cell r="H40">
            <v>0.24536940947839206</v>
          </cell>
        </row>
        <row r="41">
          <cell r="F41">
            <v>0.17143998060500809</v>
          </cell>
          <cell r="G41">
            <v>0</v>
          </cell>
          <cell r="H41">
            <v>0</v>
          </cell>
        </row>
        <row r="42">
          <cell r="F42">
            <v>2.5305601170220724</v>
          </cell>
          <cell r="G42">
            <v>1.7709531550215949</v>
          </cell>
          <cell r="H42">
            <v>1.4571663134794977</v>
          </cell>
        </row>
        <row r="43">
          <cell r="F43">
            <v>0</v>
          </cell>
          <cell r="G43">
            <v>1.4757251439492574</v>
          </cell>
          <cell r="H43">
            <v>2.8202051236026926</v>
          </cell>
        </row>
        <row r="44">
          <cell r="F44">
            <v>1.5408588931629965E-4</v>
          </cell>
          <cell r="G44">
            <v>2.4028668445066358E-4</v>
          </cell>
          <cell r="H44">
            <v>1.1737589818070998E-5</v>
          </cell>
        </row>
        <row r="45">
          <cell r="F45">
            <v>0</v>
          </cell>
          <cell r="G45">
            <v>7.2259890953056287E-5</v>
          </cell>
          <cell r="H45">
            <v>0.29176946738284598</v>
          </cell>
        </row>
        <row r="46">
          <cell r="F46">
            <v>2.1946919372248714E-3</v>
          </cell>
          <cell r="G46">
            <v>7.4105426878997181E-3</v>
          </cell>
          <cell r="H46">
            <v>2.2815363863823208</v>
          </cell>
        </row>
        <row r="47">
          <cell r="F47">
            <v>1.1188010659374507E-4</v>
          </cell>
          <cell r="G47">
            <v>3.4821270846194919E-4</v>
          </cell>
          <cell r="H47">
            <v>2.24697637101287E-4</v>
          </cell>
        </row>
        <row r="48">
          <cell r="F48">
            <v>6.5887954539869363E-3</v>
          </cell>
          <cell r="G48">
            <v>2.5259082386281002E-3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3.1605119803507345E-4</v>
          </cell>
          <cell r="G50">
            <v>3.6359853628397933E-4</v>
          </cell>
          <cell r="H50">
            <v>1.5202365150242166E-4</v>
          </cell>
        </row>
        <row r="51">
          <cell r="F51">
            <v>0.33849606615953398</v>
          </cell>
          <cell r="G51">
            <v>0.15654782014945126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2.9693597631229003E-3</v>
          </cell>
          <cell r="G53">
            <v>0.35927104876753729</v>
          </cell>
          <cell r="H53">
            <v>0.25974438878907702</v>
          </cell>
        </row>
        <row r="54">
          <cell r="F54">
            <v>1.1059355565805749</v>
          </cell>
          <cell r="G54">
            <v>1.1059355528743231</v>
          </cell>
          <cell r="H54">
            <v>1.1059354747937413</v>
          </cell>
        </row>
        <row r="55">
          <cell r="F55">
            <v>0.19720178170943758</v>
          </cell>
          <cell r="G55">
            <v>0.24005534025199879</v>
          </cell>
          <cell r="H55">
            <v>0</v>
          </cell>
        </row>
        <row r="56">
          <cell r="F56">
            <v>1.1314459326948921E-4</v>
          </cell>
          <cell r="G56">
            <v>1.7453004495780923E-4</v>
          </cell>
          <cell r="H56">
            <v>4.2674793203504241E-5</v>
          </cell>
        </row>
        <row r="57">
          <cell r="F57">
            <v>4.7747068974089479E-4</v>
          </cell>
          <cell r="G57">
            <v>1.9393402215374809E-2</v>
          </cell>
          <cell r="H57">
            <v>2.8547010649093287E-2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2.4239063756170829E-2</v>
          </cell>
          <cell r="G70">
            <v>1.8415072179841924E-2</v>
          </cell>
          <cell r="H70">
            <v>9.4499476245348726E-2</v>
          </cell>
        </row>
        <row r="71">
          <cell r="F71">
            <v>6.1394046033543162E-2</v>
          </cell>
          <cell r="G71">
            <v>0.14285139894715804</v>
          </cell>
          <cell r="H71">
            <v>3.1773594770964628</v>
          </cell>
        </row>
        <row r="72">
          <cell r="F72">
            <v>5.5031985270286715E-2</v>
          </cell>
          <cell r="G72">
            <v>7.0190147423994195E-2</v>
          </cell>
          <cell r="H72">
            <v>0.64859767056440187</v>
          </cell>
        </row>
        <row r="73">
          <cell r="F73">
            <v>0.30074801598554451</v>
          </cell>
          <cell r="G73">
            <v>0.26020667275191089</v>
          </cell>
          <cell r="H73">
            <v>0.82890686558452786</v>
          </cell>
        </row>
        <row r="74">
          <cell r="F74">
            <v>0.52040027914196441</v>
          </cell>
          <cell r="G74">
            <v>0.36603149409976221</v>
          </cell>
          <cell r="H74">
            <v>0.67131096667696544</v>
          </cell>
        </row>
        <row r="75">
          <cell r="F75">
            <v>3.2291448251182055E-2</v>
          </cell>
          <cell r="G75">
            <v>2.1362677152106664E-2</v>
          </cell>
          <cell r="H75">
            <v>3.725547596966311E-2</v>
          </cell>
        </row>
        <row r="76">
          <cell r="F76">
            <v>0.42051735408091639</v>
          </cell>
          <cell r="G76">
            <v>0.5592067355486412</v>
          </cell>
          <cell r="H76">
            <v>0.80147917509845423</v>
          </cell>
        </row>
        <row r="90">
          <cell r="F90">
            <v>0</v>
          </cell>
          <cell r="G90">
            <v>1.2575918091539578E-5</v>
          </cell>
          <cell r="H90">
            <v>1.2916485629718005E-5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1.3927475954516451</v>
          </cell>
          <cell r="G92">
            <v>2.4469698621590767</v>
          </cell>
          <cell r="H92">
            <v>3.5276253329499383</v>
          </cell>
        </row>
        <row r="93">
          <cell r="F93">
            <v>12.34294637785387</v>
          </cell>
          <cell r="G93">
            <v>12.101205582682555</v>
          </cell>
          <cell r="H93">
            <v>12.142227035687494</v>
          </cell>
        </row>
        <row r="94">
          <cell r="F94">
            <v>1.3596371989876003E-4</v>
          </cell>
          <cell r="G94">
            <v>0.73447723757873995</v>
          </cell>
          <cell r="H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0.10598506615794971</v>
          </cell>
          <cell r="H96">
            <v>0.14078433698907403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0.9017740275936329</v>
          </cell>
          <cell r="G98">
            <v>0.90177424201188949</v>
          </cell>
          <cell r="H98">
            <v>0.90177447913018138</v>
          </cell>
        </row>
        <row r="99">
          <cell r="F99">
            <v>1.3003418725283291</v>
          </cell>
          <cell r="G99">
            <v>0</v>
          </cell>
          <cell r="H99">
            <v>0</v>
          </cell>
        </row>
        <row r="100">
          <cell r="F100">
            <v>0.14280373294670107</v>
          </cell>
          <cell r="G100">
            <v>1.5286968549232342E-5</v>
          </cell>
          <cell r="H100">
            <v>0</v>
          </cell>
        </row>
        <row r="101">
          <cell r="F101">
            <v>2.6664450282257484</v>
          </cell>
          <cell r="G101">
            <v>2.0632451702336128</v>
          </cell>
          <cell r="H101">
            <v>1.8846319808946879</v>
          </cell>
        </row>
        <row r="102">
          <cell r="F102">
            <v>5.1590359420725715E-6</v>
          </cell>
          <cell r="G102">
            <v>5.206478782649534E-6</v>
          </cell>
          <cell r="H102">
            <v>5.2012181564254829E-6</v>
          </cell>
        </row>
        <row r="103">
          <cell r="F103">
            <v>0.37696752282978785</v>
          </cell>
          <cell r="G103">
            <v>0.75841727368429557</v>
          </cell>
          <cell r="H103">
            <v>0.74024318605818928</v>
          </cell>
        </row>
        <row r="104">
          <cell r="F104">
            <v>0.84999848398276812</v>
          </cell>
          <cell r="G104">
            <v>0</v>
          </cell>
          <cell r="H104">
            <v>0</v>
          </cell>
        </row>
        <row r="105">
          <cell r="F105">
            <v>5.3531079398543993</v>
          </cell>
          <cell r="G105">
            <v>6.8679733247460462</v>
          </cell>
          <cell r="H105">
            <v>9.0482857619193346</v>
          </cell>
        </row>
        <row r="106">
          <cell r="F106">
            <v>9.0932782202831795E-4</v>
          </cell>
          <cell r="G106">
            <v>1.5830605727376094E-3</v>
          </cell>
          <cell r="H106">
            <v>0.98979402545517614</v>
          </cell>
        </row>
        <row r="107">
          <cell r="F107">
            <v>5.3117390057122099E-5</v>
          </cell>
          <cell r="G107">
            <v>1.5653598820766524E-4</v>
          </cell>
          <cell r="H107">
            <v>9.0667467602273814E-5</v>
          </cell>
        </row>
        <row r="108">
          <cell r="F108">
            <v>1.4786459819484744E-3</v>
          </cell>
          <cell r="G108">
            <v>4.4463256127398243E-3</v>
          </cell>
          <cell r="H108">
            <v>1.1407681931911606</v>
          </cell>
        </row>
        <row r="109">
          <cell r="F109">
            <v>1.4927997720311283E-2</v>
          </cell>
          <cell r="G109">
            <v>5.6722149920069602E-3</v>
          </cell>
          <cell r="H109">
            <v>0</v>
          </cell>
        </row>
        <row r="110">
          <cell r="F110">
            <v>8.3557351123164235E-4</v>
          </cell>
          <cell r="G110">
            <v>9.4099862326207082E-4</v>
          </cell>
          <cell r="H110">
            <v>3.7786820453637585E-4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0.69104989244372683</v>
          </cell>
          <cell r="G112">
            <v>0.31566199800627065</v>
          </cell>
          <cell r="H112">
            <v>0</v>
          </cell>
        </row>
        <row r="113">
          <cell r="F113">
            <v>7.8987895176668363E-3</v>
          </cell>
          <cell r="G113">
            <v>0.95569638588409045</v>
          </cell>
          <cell r="H113">
            <v>0.69094571240708125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1.164906685703156</v>
          </cell>
          <cell r="G115">
            <v>1.0059045623994656</v>
          </cell>
          <cell r="H115">
            <v>1.0059044913812101</v>
          </cell>
        </row>
        <row r="116">
          <cell r="F116">
            <v>0.27929554435850062</v>
          </cell>
          <cell r="G116">
            <v>0.36008301037799811</v>
          </cell>
          <cell r="H116">
            <v>0</v>
          </cell>
        </row>
        <row r="117">
          <cell r="F117">
            <v>1.7692704399055451E-4</v>
          </cell>
          <cell r="G117">
            <v>2.6690562945421695E-4</v>
          </cell>
          <cell r="H117">
            <v>6.2672033122141395E-5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3.2999460633067123E-4</v>
          </cell>
          <cell r="G119">
            <v>1.221066065412489E-2</v>
          </cell>
          <cell r="H119">
            <v>1.6135266888617952E-2</v>
          </cell>
        </row>
        <row r="123">
          <cell r="F123">
            <v>10.577265460075463</v>
          </cell>
          <cell r="G123">
            <v>11.116812402945023</v>
          </cell>
          <cell r="H123">
            <v>12.279877085993288</v>
          </cell>
        </row>
      </sheetData>
      <sheetData sheetId="59">
        <row r="13">
          <cell r="F13">
            <v>16.108687393460961</v>
          </cell>
          <cell r="G13">
            <v>16.540664413990235</v>
          </cell>
          <cell r="H13">
            <v>16.98554525724483</v>
          </cell>
        </row>
        <row r="14">
          <cell r="F14">
            <v>167.60363837156819</v>
          </cell>
          <cell r="G14">
            <v>98.945498934149086</v>
          </cell>
          <cell r="H14">
            <v>0</v>
          </cell>
        </row>
        <row r="15">
          <cell r="F15">
            <v>71.92488130314247</v>
          </cell>
          <cell r="G15">
            <v>72.955947959382129</v>
          </cell>
          <cell r="H15">
            <v>74.836042114965252</v>
          </cell>
        </row>
        <row r="16">
          <cell r="F16">
            <v>63.393434092366533</v>
          </cell>
          <cell r="G16">
            <v>62.362367651452743</v>
          </cell>
          <cell r="H16">
            <v>60.482273607774367</v>
          </cell>
        </row>
        <row r="18">
          <cell r="F18">
            <v>2.0535811447209768E-4</v>
          </cell>
          <cell r="G18">
            <v>8.7878566652436485E-2</v>
          </cell>
          <cell r="H18">
            <v>0</v>
          </cell>
        </row>
        <row r="19">
          <cell r="F19">
            <v>20.958776032074827</v>
          </cell>
          <cell r="G19">
            <v>14.444410562413781</v>
          </cell>
          <cell r="H19">
            <v>2.6977174187167263E-4</v>
          </cell>
        </row>
        <row r="20">
          <cell r="F20">
            <v>0</v>
          </cell>
          <cell r="G20">
            <v>7.6098820787713999</v>
          </cell>
          <cell r="H20">
            <v>25.064097236208948</v>
          </cell>
        </row>
        <row r="21">
          <cell r="F21">
            <v>0</v>
          </cell>
          <cell r="G21">
            <v>0</v>
          </cell>
          <cell r="H21">
            <v>0.34170928630465758</v>
          </cell>
        </row>
        <row r="22">
          <cell r="F22">
            <v>0</v>
          </cell>
          <cell r="G22">
            <v>0</v>
          </cell>
          <cell r="H22">
            <v>0.37779121513218072</v>
          </cell>
          <cell r="P22">
            <v>0.61293150524753592</v>
          </cell>
          <cell r="Q22">
            <v>0.69459463564093882</v>
          </cell>
          <cell r="R22">
            <v>0.21424619390547298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3.340603537424084E-2</v>
          </cell>
          <cell r="Q23">
            <v>0.1462685017806174</v>
          </cell>
          <cell r="R23">
            <v>0.70721793786161646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1.8326512832790733</v>
          </cell>
          <cell r="G25">
            <v>3.0572564729262659</v>
          </cell>
          <cell r="H25">
            <v>4.4048577128709452</v>
          </cell>
        </row>
        <row r="26">
          <cell r="F26">
            <v>40.63736731468186</v>
          </cell>
          <cell r="G26">
            <v>31.230728367008098</v>
          </cell>
          <cell r="H26">
            <v>12.231866154672128</v>
          </cell>
        </row>
        <row r="27">
          <cell r="F27">
            <v>0</v>
          </cell>
          <cell r="G27">
            <v>8.8316108742163077</v>
          </cell>
          <cell r="H27">
            <v>25.378627330356469</v>
          </cell>
        </row>
        <row r="28">
          <cell r="F28">
            <v>2.5731515656794376E-4</v>
          </cell>
          <cell r="G28">
            <v>1.2282832137408792</v>
          </cell>
          <cell r="H28">
            <v>0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0.20781385521166676</v>
          </cell>
          <cell r="H30">
            <v>0.26563082450768732</v>
          </cell>
        </row>
        <row r="31">
          <cell r="F31">
            <v>0</v>
          </cell>
          <cell r="G31">
            <v>4.1280420802853381E-4</v>
          </cell>
          <cell r="H31">
            <v>1.9850893892202097E-3</v>
          </cell>
        </row>
        <row r="32">
          <cell r="F32">
            <v>0</v>
          </cell>
          <cell r="G32">
            <v>7.230576909430058E-3</v>
          </cell>
          <cell r="H32">
            <v>44.245217550945291</v>
          </cell>
        </row>
        <row r="33">
          <cell r="F33">
            <v>3.6358957293724981</v>
          </cell>
          <cell r="G33">
            <v>7.1993345093761221</v>
          </cell>
          <cell r="H33">
            <v>9.3572354223313248</v>
          </cell>
        </row>
        <row r="34">
          <cell r="F34">
            <v>1.3196983803416822</v>
          </cell>
          <cell r="G34">
            <v>3.4225365206050307</v>
          </cell>
          <cell r="H34">
            <v>18.178313356413419</v>
          </cell>
        </row>
        <row r="35">
          <cell r="F35">
            <v>27.72786324891058</v>
          </cell>
          <cell r="G35">
            <v>40.847646985549105</v>
          </cell>
          <cell r="H35">
            <v>50.935792746051874</v>
          </cell>
        </row>
        <row r="36">
          <cell r="F36">
            <v>11.801960342978287</v>
          </cell>
          <cell r="G36">
            <v>12.452152782480272</v>
          </cell>
          <cell r="H36">
            <v>13.862942911433937</v>
          </cell>
        </row>
        <row r="37">
          <cell r="F37">
            <v>1.7190229640527548</v>
          </cell>
          <cell r="G37">
            <v>1.8073620598594649</v>
          </cell>
          <cell r="H37">
            <v>1.9964528344576082</v>
          </cell>
        </row>
        <row r="38">
          <cell r="F38">
            <v>18.815542526532376</v>
          </cell>
          <cell r="G38">
            <v>31.805399099842173</v>
          </cell>
          <cell r="H38">
            <v>35.132947950287758</v>
          </cell>
        </row>
        <row r="39">
          <cell r="F39">
            <v>0.64584025292771807</v>
          </cell>
          <cell r="G39">
            <v>1.8687387039152197</v>
          </cell>
          <cell r="H39">
            <v>1.9404065733395677</v>
          </cell>
        </row>
        <row r="40">
          <cell r="F40">
            <v>0</v>
          </cell>
          <cell r="G40">
            <v>2.3202356196780423E-3</v>
          </cell>
          <cell r="H40">
            <v>0.75901406214505196</v>
          </cell>
        </row>
        <row r="41">
          <cell r="F41">
            <v>0.6511245491009866</v>
          </cell>
          <cell r="G41">
            <v>0</v>
          </cell>
          <cell r="H41">
            <v>0</v>
          </cell>
        </row>
        <row r="42">
          <cell r="F42">
            <v>7.318617636957562</v>
          </cell>
          <cell r="G42">
            <v>5.0228196800992109</v>
          </cell>
          <cell r="H42">
            <v>3.9658370817931368</v>
          </cell>
        </row>
        <row r="43">
          <cell r="F43">
            <v>0</v>
          </cell>
          <cell r="G43">
            <v>4.3992545781548662</v>
          </cell>
          <cell r="H43">
            <v>8.0793648164813394</v>
          </cell>
        </row>
        <row r="44">
          <cell r="F44">
            <v>2.4863530590616052E-3</v>
          </cell>
          <cell r="G44">
            <v>3.8773020397038999E-3</v>
          </cell>
          <cell r="H44">
            <v>1.89506108949691E-4</v>
          </cell>
        </row>
        <row r="45">
          <cell r="F45">
            <v>0</v>
          </cell>
          <cell r="G45">
            <v>1.2955516181828615E-3</v>
          </cell>
          <cell r="H45">
            <v>5.2311510662224379</v>
          </cell>
        </row>
        <row r="46">
          <cell r="F46">
            <v>4.2003673439710452E-3</v>
          </cell>
          <cell r="G46">
            <v>1.3473713977999473E-2</v>
          </cell>
          <cell r="H46">
            <v>3.8025606439705415</v>
          </cell>
        </row>
        <row r="47">
          <cell r="B47">
            <v>0</v>
          </cell>
        </row>
        <row r="48">
          <cell r="F48">
            <v>2.3892895735991238E-2</v>
          </cell>
          <cell r="G48">
            <v>9.1414052986330072E-3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1.384855573251193E-3</v>
          </cell>
          <cell r="G50">
            <v>1.576365328517147E-3</v>
          </cell>
          <cell r="H50">
            <v>6.3938655753663538E-4</v>
          </cell>
        </row>
        <row r="51">
          <cell r="F51">
            <v>1.1224650091802886</v>
          </cell>
          <cell r="G51">
            <v>0.51552291951980833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1.1117707003859932E-2</v>
          </cell>
          <cell r="G53">
            <v>1.3121398561855024</v>
          </cell>
          <cell r="H53">
            <v>0.91192406861911146</v>
          </cell>
        </row>
        <row r="54">
          <cell r="F54">
            <v>2.99014183268867</v>
          </cell>
          <cell r="G54">
            <v>2.9494210146540087</v>
          </cell>
          <cell r="H54">
            <v>2.8712114411392293</v>
          </cell>
        </row>
        <row r="55">
          <cell r="F55">
            <v>0.54853904925184138</v>
          </cell>
          <cell r="G55">
            <v>0.6669069461115873</v>
          </cell>
          <cell r="H55">
            <v>0</v>
          </cell>
        </row>
        <row r="56">
          <cell r="F56">
            <v>3.9484290557883475E-4</v>
          </cell>
          <cell r="G56">
            <v>5.70342641938138E-4</v>
          </cell>
          <cell r="H56">
            <v>1.4929137735011171E-4</v>
          </cell>
        </row>
        <row r="57">
          <cell r="F57">
            <v>9.4082894530225542E-4</v>
          </cell>
          <cell r="G57">
            <v>3.5913707806249646E-2</v>
          </cell>
          <cell r="H57">
            <v>4.9646975041901416E-2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3.4627252722209047E-2</v>
          </cell>
          <cell r="G63">
            <v>2.630726176231056E-2</v>
          </cell>
          <cell r="H63">
            <v>0.13499926365658638</v>
          </cell>
        </row>
        <row r="64">
          <cell r="F64">
            <v>7.0808841351418378E-2</v>
          </cell>
          <cell r="G64">
            <v>0.16475769243980062</v>
          </cell>
          <cell r="H64">
            <v>3.6646081633045502</v>
          </cell>
        </row>
        <row r="65">
          <cell r="F65">
            <v>6.1538474699509675E-2</v>
          </cell>
          <cell r="G65">
            <v>7.84887952832094E-2</v>
          </cell>
          <cell r="H65">
            <v>0.72528197249514137</v>
          </cell>
        </row>
        <row r="66">
          <cell r="F66">
            <v>0.33258665095057965</v>
          </cell>
          <cell r="G66">
            <v>0.28775340524380605</v>
          </cell>
          <cell r="H66">
            <v>0.91665892588145859</v>
          </cell>
        </row>
        <row r="67">
          <cell r="F67">
            <v>0.57549236371209278</v>
          </cell>
          <cell r="G67">
            <v>0.40478135556934902</v>
          </cell>
          <cell r="H67">
            <v>0.7423791729945638</v>
          </cell>
        </row>
        <row r="68">
          <cell r="F68">
            <v>3.5709990837559026E-2</v>
          </cell>
          <cell r="G68">
            <v>2.362424466049616E-2</v>
          </cell>
          <cell r="H68">
            <v>4.1199526887020145E-2</v>
          </cell>
        </row>
        <row r="69">
          <cell r="F69">
            <v>0.46503534563380283</v>
          </cell>
          <cell r="G69">
            <v>0.61840704889022735</v>
          </cell>
          <cell r="H69">
            <v>0.88632760852790016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1.1839496474833453</v>
          </cell>
          <cell r="G91">
            <v>1.1839499289955771</v>
          </cell>
          <cell r="H91">
            <v>1.183950240310949</v>
          </cell>
        </row>
        <row r="92">
          <cell r="F92">
            <v>0.65017093626416456</v>
          </cell>
          <cell r="G92">
            <v>0</v>
          </cell>
          <cell r="H92">
            <v>0</v>
          </cell>
        </row>
        <row r="93">
          <cell r="F93">
            <v>0.16712843987065742</v>
          </cell>
          <cell r="G93">
            <v>1.7890899287195637E-5</v>
          </cell>
          <cell r="H93">
            <v>0</v>
          </cell>
        </row>
        <row r="94">
          <cell r="F94">
            <v>3.8092071831796401</v>
          </cell>
          <cell r="G94">
            <v>2.9474931003337317</v>
          </cell>
          <cell r="H94">
            <v>2.6923314012781252</v>
          </cell>
        </row>
        <row r="95">
          <cell r="F95">
            <v>1.0318071884145141E-5</v>
          </cell>
          <cell r="G95">
            <v>1.0412957565299065E-5</v>
          </cell>
          <cell r="H95">
            <v>1.0402436312850964E-5</v>
          </cell>
        </row>
        <row r="96">
          <cell r="F96">
            <v>0</v>
          </cell>
          <cell r="G96">
            <v>1.4795197754752449E-5</v>
          </cell>
          <cell r="H96">
            <v>1.5195865446727074E-5</v>
          </cell>
        </row>
        <row r="97">
          <cell r="F97">
            <v>3.5257551533584857</v>
          </cell>
          <cell r="G97">
            <v>3.7056041343150059</v>
          </cell>
          <cell r="H97">
            <v>4.0932923619977588</v>
          </cell>
        </row>
      </sheetData>
      <sheetData sheetId="60">
        <row r="14">
          <cell r="F14">
            <v>2.0753297939582636</v>
          </cell>
          <cell r="G14">
            <v>1.2356851844506809</v>
          </cell>
          <cell r="H14">
            <v>0</v>
          </cell>
        </row>
        <row r="15">
          <cell r="F15">
            <v>7.4650351088567799</v>
          </cell>
          <cell r="G15">
            <v>7.6234162578770022</v>
          </cell>
          <cell r="H15">
            <v>7.7286523162665857</v>
          </cell>
        </row>
        <row r="16">
          <cell r="F16">
            <v>4.868290023637635</v>
          </cell>
          <cell r="G16">
            <v>4.8721113205235937</v>
          </cell>
          <cell r="H16">
            <v>4.892699292631125</v>
          </cell>
        </row>
        <row r="17">
          <cell r="F17">
            <v>4.3594734933650363</v>
          </cell>
          <cell r="G17">
            <v>4.3594735100312194</v>
          </cell>
          <cell r="H17">
            <v>4.3594735445780746</v>
          </cell>
        </row>
        <row r="18">
          <cell r="F18">
            <v>3.9864235201095159E-2</v>
          </cell>
          <cell r="G18">
            <v>3.9863995719473057E-2</v>
          </cell>
          <cell r="H18">
            <v>2.0012677723999991E-4</v>
          </cell>
        </row>
        <row r="19">
          <cell r="F19">
            <v>0.27948864867734735</v>
          </cell>
          <cell r="G19">
            <v>0.20507633142018949</v>
          </cell>
          <cell r="H19">
            <v>5.94616650467783E-6</v>
          </cell>
        </row>
        <row r="20">
          <cell r="F20">
            <v>0</v>
          </cell>
          <cell r="G20">
            <v>0.100709237080133</v>
          </cell>
          <cell r="H20">
            <v>0.31922237216441901</v>
          </cell>
        </row>
        <row r="21">
          <cell r="F21">
            <v>0</v>
          </cell>
          <cell r="G21">
            <v>2.8551194158650801E-8</v>
          </cell>
          <cell r="H21">
            <v>1.2639779164847788E-2</v>
          </cell>
        </row>
        <row r="22">
          <cell r="F22">
            <v>2.2399439864683499E-5</v>
          </cell>
          <cell r="G22">
            <v>9.3252750493129632E-5</v>
          </cell>
          <cell r="H22">
            <v>0.11019206961285888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-5.7694479727553316E-9</v>
          </cell>
          <cell r="G24">
            <v>0</v>
          </cell>
          <cell r="H24">
            <v>0</v>
          </cell>
        </row>
        <row r="25">
          <cell r="F25">
            <v>2.4348132462067511E-2</v>
          </cell>
          <cell r="G25">
            <v>4.082440740213502E-2</v>
          </cell>
          <cell r="H25">
            <v>8.158403632282811E-2</v>
          </cell>
        </row>
        <row r="26">
          <cell r="F26">
            <v>6.9925851720587892E-2</v>
          </cell>
          <cell r="G26">
            <v>4.7187736391609163E-2</v>
          </cell>
          <cell r="H26">
            <v>2.7486211681901351E-6</v>
          </cell>
        </row>
        <row r="27">
          <cell r="F27">
            <v>0</v>
          </cell>
          <cell r="G27">
            <v>2.3278192585845601E-2</v>
          </cell>
          <cell r="H27">
            <v>7.4875232209403106E-2</v>
          </cell>
        </row>
        <row r="28">
          <cell r="F28">
            <v>9.9718324829128641E-4</v>
          </cell>
          <cell r="G28">
            <v>1.4529015405854946E-2</v>
          </cell>
          <cell r="H28">
            <v>3.9089387123198913E-5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1.22587649045577E-2</v>
          </cell>
          <cell r="H30">
            <v>1.22649851024649E-2</v>
          </cell>
        </row>
        <row r="31">
          <cell r="F31">
            <v>0</v>
          </cell>
          <cell r="G31">
            <v>1.0063933257286401E-5</v>
          </cell>
          <cell r="H31">
            <v>3.1994287205690002E-5</v>
          </cell>
        </row>
        <row r="32">
          <cell r="F32">
            <v>0</v>
          </cell>
          <cell r="G32">
            <v>4.3041316563736599E-5</v>
          </cell>
          <cell r="H32">
            <v>0.26336441719202841</v>
          </cell>
        </row>
        <row r="33">
          <cell r="F33">
            <v>0.60450236052857775</v>
          </cell>
          <cell r="G33">
            <v>1.1969580666720168</v>
          </cell>
          <cell r="H33">
            <v>1.5557296849081099</v>
          </cell>
        </row>
        <row r="34">
          <cell r="F34">
            <v>0.31490824387773486</v>
          </cell>
          <cell r="G34">
            <v>0.92109508022372433</v>
          </cell>
          <cell r="H34">
            <v>3.7962218748481673</v>
          </cell>
        </row>
        <row r="35">
          <cell r="F35">
            <v>7.9931343489138005</v>
          </cell>
          <cell r="G35">
            <v>11.775185381356437</v>
          </cell>
          <cell r="H35">
            <v>14.6833035868988</v>
          </cell>
        </row>
        <row r="36">
          <cell r="F36">
            <v>3.4021610102505937</v>
          </cell>
          <cell r="G36">
            <v>3.5895925307731309</v>
          </cell>
          <cell r="H36">
            <v>3.9962821686822503</v>
          </cell>
        </row>
        <row r="37">
          <cell r="F37">
            <v>0.49554423226501848</v>
          </cell>
          <cell r="G37">
            <v>0.52100981788938383</v>
          </cell>
          <cell r="H37">
            <v>0.5755191515917909</v>
          </cell>
        </row>
        <row r="38">
          <cell r="F38">
            <v>5.4239721999287287</v>
          </cell>
          <cell r="G38">
            <v>9.1685690212070288</v>
          </cell>
          <cell r="H38">
            <v>10.127804303068199</v>
          </cell>
        </row>
        <row r="39">
          <cell r="F39">
            <v>5.5073077491520295E-2</v>
          </cell>
          <cell r="G39">
            <v>5.5073235292954541E-2</v>
          </cell>
          <cell r="H39">
            <v>4.4177260003455308E-2</v>
          </cell>
        </row>
        <row r="40">
          <cell r="F40">
            <v>0</v>
          </cell>
          <cell r="G40">
            <v>8.76244745239817E-5</v>
          </cell>
          <cell r="H40">
            <v>1.1524075090162228E-2</v>
          </cell>
        </row>
        <row r="41">
          <cell r="F41">
            <v>1.0763572213849134E-2</v>
          </cell>
          <cell r="G41">
            <v>0</v>
          </cell>
          <cell r="H41">
            <v>0</v>
          </cell>
        </row>
        <row r="42">
          <cell r="F42">
            <v>9.7773364329305043E-2</v>
          </cell>
          <cell r="G42">
            <v>7.2828304385899587E-2</v>
          </cell>
          <cell r="H42">
            <v>7.8185624813511045E-2</v>
          </cell>
        </row>
        <row r="43">
          <cell r="F43">
            <v>0</v>
          </cell>
          <cell r="G43">
            <v>5.4564963122858599E-2</v>
          </cell>
          <cell r="H43">
            <v>0.104292866715436</v>
          </cell>
        </row>
        <row r="44">
          <cell r="F44">
            <v>4.2267067604037298E-5</v>
          </cell>
          <cell r="G44">
            <v>4.2207910674477503E-5</v>
          </cell>
          <cell r="H44">
            <v>5.8172737302567522E-6</v>
          </cell>
        </row>
        <row r="45">
          <cell r="F45">
            <v>0</v>
          </cell>
          <cell r="G45">
            <v>8.8123089400115393E-6</v>
          </cell>
          <cell r="H45">
            <v>2.93315010031154E-2</v>
          </cell>
        </row>
        <row r="46">
          <cell r="F46">
            <v>1.7084575953731101E-4</v>
          </cell>
          <cell r="G46">
            <v>8.9911646542139775E-4</v>
          </cell>
          <cell r="H46">
            <v>8.5843081730547791E-2</v>
          </cell>
        </row>
        <row r="47">
          <cell r="F47">
            <v>2.0303415815001801E-5</v>
          </cell>
          <cell r="G47">
            <v>2.2505291615454368E-5</v>
          </cell>
          <cell r="H47">
            <v>1.3580189472121266E-5</v>
          </cell>
        </row>
        <row r="48">
          <cell r="F48">
            <v>5.856904565929319E-4</v>
          </cell>
          <cell r="G48">
            <v>2.2453328430006419E-4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2.8102829476727819E-5</v>
          </cell>
          <cell r="G50">
            <v>3.2333604434379504E-5</v>
          </cell>
          <cell r="H50">
            <v>1.3523936317987771E-5</v>
          </cell>
        </row>
        <row r="51">
          <cell r="F51">
            <v>2.5117550115566864E-2</v>
          </cell>
          <cell r="G51">
            <v>1.1616361612130947E-2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2.20357547332864E-4</v>
          </cell>
          <cell r="G53">
            <v>2.66591472060775E-2</v>
          </cell>
          <cell r="H53">
            <v>1.9273929647960597E-2</v>
          </cell>
        </row>
        <row r="54">
          <cell r="F54">
            <v>8.474399523996079E-2</v>
          </cell>
          <cell r="G54">
            <v>8.4743981479286898E-2</v>
          </cell>
          <cell r="H54">
            <v>8.4743979140964876E-2</v>
          </cell>
        </row>
        <row r="55">
          <cell r="F55">
            <v>2.7171303736152421E-2</v>
          </cell>
          <cell r="G55">
            <v>1.4088539686170356E-2</v>
          </cell>
          <cell r="H55">
            <v>0</v>
          </cell>
        </row>
        <row r="56">
          <cell r="F56">
            <v>1.36145697661662E-5</v>
          </cell>
          <cell r="G56">
            <v>1.3335619574130772E-5</v>
          </cell>
          <cell r="H56">
            <v>5.0136318257828171E-6</v>
          </cell>
        </row>
        <row r="57">
          <cell r="F57">
            <v>2.80506655411576E-5</v>
          </cell>
          <cell r="G57">
            <v>1.1381795025358699E-3</v>
          </cell>
          <cell r="H57">
            <v>1.67540934881637E-3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9.9999850799627699E-2</v>
          </cell>
          <cell r="G63">
            <v>9.9999886429978882E-2</v>
          </cell>
          <cell r="H63">
            <v>9.9999889707716699E-2</v>
          </cell>
        </row>
        <row r="64">
          <cell r="F64">
            <v>5.611070393603957E-2</v>
          </cell>
          <cell r="G64">
            <v>0.51747601378501573</v>
          </cell>
          <cell r="H64">
            <v>1.080915261927111</v>
          </cell>
        </row>
        <row r="65">
          <cell r="F65">
            <v>2.9540441483830445E-2</v>
          </cell>
          <cell r="G65">
            <v>7.0178605719453974E-2</v>
          </cell>
          <cell r="H65">
            <v>0.20465680952879448</v>
          </cell>
        </row>
        <row r="66">
          <cell r="F66">
            <v>0.16635372613568319</v>
          </cell>
          <cell r="G66">
            <v>0.25272699985469343</v>
          </cell>
          <cell r="H66">
            <v>0.34665437895942719</v>
          </cell>
        </row>
        <row r="67">
          <cell r="F67">
            <v>0.36051759621273022</v>
          </cell>
          <cell r="G67">
            <v>0.39226751384720576</v>
          </cell>
          <cell r="H67">
            <v>0.48037983046332561</v>
          </cell>
        </row>
        <row r="68">
          <cell r="F68">
            <v>1.8149832815412312E-2</v>
          </cell>
          <cell r="G68">
            <v>1.9845461722587943E-2</v>
          </cell>
          <cell r="H68">
            <v>2.4019458382740673E-2</v>
          </cell>
        </row>
        <row r="69">
          <cell r="F69">
            <v>0.22576817556704781</v>
          </cell>
          <cell r="G69">
            <v>0.4106160181874936</v>
          </cell>
          <cell r="H69">
            <v>0.53633067571531945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3.529655799276115E-2</v>
          </cell>
          <cell r="G15">
            <v>5.6156898245623373E-2</v>
          </cell>
          <cell r="H15">
            <v>0.16253619830443</v>
          </cell>
        </row>
        <row r="16">
          <cell r="F16">
            <v>1.6785905784426678E-4</v>
          </cell>
          <cell r="G16">
            <v>2.4409110457152397E-2</v>
          </cell>
          <cell r="H16">
            <v>1.7091596766517839E-7</v>
          </cell>
        </row>
        <row r="17">
          <cell r="F17">
            <v>1.15153995040305E-8</v>
          </cell>
          <cell r="G17">
            <v>1.7514828743470599E-8</v>
          </cell>
          <cell r="H17">
            <v>5.6689197489623801E-8</v>
          </cell>
        </row>
        <row r="18">
          <cell r="F18">
            <v>1.82086027704503E-4</v>
          </cell>
          <cell r="G18">
            <v>1.6867438982094801E-7</v>
          </cell>
          <cell r="H18">
            <v>5.9516604603532398E-8</v>
          </cell>
        </row>
        <row r="19">
          <cell r="F19">
            <v>8.9330704267916394E-2</v>
          </cell>
          <cell r="G19">
            <v>0</v>
          </cell>
          <cell r="H19">
            <v>0</v>
          </cell>
        </row>
        <row r="20">
          <cell r="F20">
            <v>0</v>
          </cell>
          <cell r="G20">
            <v>0.100709237080133</v>
          </cell>
          <cell r="H20">
            <v>0.21851313508428599</v>
          </cell>
        </row>
        <row r="21">
          <cell r="F21">
            <v>0</v>
          </cell>
          <cell r="G21">
            <v>5.9297707579395697E-8</v>
          </cell>
          <cell r="H21">
            <v>1.7081550724707802E-2</v>
          </cell>
        </row>
        <row r="22">
          <cell r="F22">
            <v>9.3014024726809604E-5</v>
          </cell>
          <cell r="G22">
            <v>5.7983820271813404E-7</v>
          </cell>
          <cell r="H22">
            <v>0.14878911917062701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6.2984601849793004E-8</v>
          </cell>
          <cell r="G25">
            <v>1.6476557464924602E-2</v>
          </cell>
          <cell r="H25">
            <v>5.8776187366764002E-2</v>
          </cell>
        </row>
        <row r="26">
          <cell r="F26">
            <v>5.3966163237360899E-3</v>
          </cell>
          <cell r="G26">
            <v>0</v>
          </cell>
          <cell r="H26">
            <v>0</v>
          </cell>
        </row>
        <row r="27">
          <cell r="F27">
            <v>0</v>
          </cell>
          <cell r="G27">
            <v>2.3278192585845601E-2</v>
          </cell>
          <cell r="H27">
            <v>5.1597039623557599E-2</v>
          </cell>
        </row>
        <row r="28">
          <cell r="F28">
            <v>6.7797758885217298E-7</v>
          </cell>
          <cell r="G28">
            <v>1.4180843477132001E-2</v>
          </cell>
          <cell r="H28">
            <v>2.88903818820947E-8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1.22587649045577E-2</v>
          </cell>
          <cell r="H30">
            <v>6.2201979072005303E-6</v>
          </cell>
        </row>
        <row r="31">
          <cell r="F31">
            <v>0</v>
          </cell>
          <cell r="G31">
            <v>2.0901688667488099E-5</v>
          </cell>
          <cell r="H31">
            <v>1.49907274456481E-5</v>
          </cell>
        </row>
        <row r="32">
          <cell r="F32">
            <v>0</v>
          </cell>
          <cell r="G32">
            <v>2.7493660094828802E-4</v>
          </cell>
          <cell r="H32">
            <v>0.45595682729322801</v>
          </cell>
        </row>
        <row r="33">
          <cell r="F33">
            <v>0.74282600488207096</v>
          </cell>
          <cell r="G33">
            <v>4.4337259347104298E-7</v>
          </cell>
          <cell r="H33">
            <v>0.87131074372686901</v>
          </cell>
        </row>
        <row r="34">
          <cell r="F34">
            <v>0.19424165120061093</v>
          </cell>
          <cell r="G34">
            <v>0.60618680303648709</v>
          </cell>
          <cell r="H34">
            <v>4.1543680943247496</v>
          </cell>
        </row>
        <row r="35">
          <cell r="F35">
            <v>2.8908321614941799</v>
          </cell>
          <cell r="G35">
            <v>4.4944812557074796</v>
          </cell>
          <cell r="H35">
            <v>7.3333284205044</v>
          </cell>
        </row>
        <row r="36">
          <cell r="F36">
            <v>0.40045227030941299</v>
          </cell>
          <cell r="G36">
            <v>0.77053892843001093</v>
          </cell>
          <cell r="H36">
            <v>2.557717490703145</v>
          </cell>
        </row>
        <row r="37">
          <cell r="F37">
            <v>0.11250040761356013</v>
          </cell>
          <cell r="G37">
            <v>0.25045419728393159</v>
          </cell>
          <cell r="H37">
            <v>0.23541782648263815</v>
          </cell>
        </row>
        <row r="38">
          <cell r="F38">
            <v>0.73007729881886396</v>
          </cell>
          <cell r="G38">
            <v>4.1520471095155704</v>
          </cell>
          <cell r="H38">
            <v>4.8569227779632396</v>
          </cell>
        </row>
        <row r="39">
          <cell r="F39">
            <v>4.61628339226813E-2</v>
          </cell>
          <cell r="G39">
            <v>2.8683783347209198E-7</v>
          </cell>
          <cell r="H39">
            <v>5.0752368193667796E-3</v>
          </cell>
        </row>
        <row r="40">
          <cell r="F40">
            <v>0</v>
          </cell>
          <cell r="G40">
            <v>8.76244745239817E-5</v>
          </cell>
          <cell r="H40">
            <v>1.14364613842084E-2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1.8809986560519E-2</v>
          </cell>
          <cell r="G42">
            <v>1.8307309787991801E-2</v>
          </cell>
          <cell r="H42">
            <v>5.6942881985975198E-2</v>
          </cell>
        </row>
        <row r="43">
          <cell r="F43">
            <v>0</v>
          </cell>
          <cell r="G43">
            <v>5.4564963122858599E-2</v>
          </cell>
          <cell r="H43">
            <v>6.4693243748134094E-2</v>
          </cell>
        </row>
        <row r="44">
          <cell r="F44">
            <v>1.16315316367604E-8</v>
          </cell>
          <cell r="G44">
            <v>0</v>
          </cell>
          <cell r="H44">
            <v>0</v>
          </cell>
        </row>
        <row r="45">
          <cell r="F45">
            <v>0</v>
          </cell>
          <cell r="G45">
            <v>8.8123089400115393E-6</v>
          </cell>
          <cell r="H45">
            <v>2.9322688694175401E-2</v>
          </cell>
        </row>
        <row r="46">
          <cell r="F46">
            <v>2.5278051881217999E-6</v>
          </cell>
          <cell r="G46">
            <v>7.8164276884456097E-4</v>
          </cell>
          <cell r="H46">
            <v>8.5274755486341794E-2</v>
          </cell>
        </row>
        <row r="47">
          <cell r="F47">
            <v>1.0976977804255101E-5</v>
          </cell>
          <cell r="G47">
            <v>5.1667503654534096E-6</v>
          </cell>
          <cell r="H47">
            <v>5.1923489493278897E-6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1.5462236329133159E-5</v>
          </cell>
          <cell r="G50">
            <v>8.2380160395106008E-6</v>
          </cell>
          <cell r="H50">
            <v>1.0048886428581926E-6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1.8508442901539598E-4</v>
          </cell>
          <cell r="G53">
            <v>2.6449971720152499E-2</v>
          </cell>
          <cell r="H53">
            <v>2.3648958127005598E-8</v>
          </cell>
        </row>
        <row r="54">
          <cell r="F54">
            <v>4.40836627780972E-2</v>
          </cell>
          <cell r="G54">
            <v>3.1150893486620999E-2</v>
          </cell>
          <cell r="H54">
            <v>4.34895860584203E-2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5.2501411171318804E-6</v>
          </cell>
          <cell r="G56">
            <v>2.3842665130448899E-6</v>
          </cell>
          <cell r="H56">
            <v>1.0688498654911499E-6</v>
          </cell>
        </row>
        <row r="57">
          <cell r="F57">
            <v>1.8940166033411298E-5</v>
          </cell>
          <cell r="G57">
            <v>1.11301699006455E-3</v>
          </cell>
          <cell r="H57">
            <v>8.5964401755557604E-4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8.3788021193380301E-8</v>
          </cell>
          <cell r="G63">
            <v>8.69779861847318E-8</v>
          </cell>
          <cell r="H63">
            <v>5.8030933606627097E-8</v>
          </cell>
        </row>
        <row r="64">
          <cell r="F64">
            <v>3.2706057988215097E-2</v>
          </cell>
          <cell r="G64">
            <v>0.48118838864084001</v>
          </cell>
          <cell r="H64">
            <v>0.83385725931821997</v>
          </cell>
        </row>
        <row r="65">
          <cell r="F65">
            <v>1.77938474637407E-2</v>
          </cell>
          <cell r="G65">
            <v>5.0650600659771297E-2</v>
          </cell>
          <cell r="H65">
            <v>0.17613269570496301</v>
          </cell>
        </row>
        <row r="66">
          <cell r="F66">
            <v>8.7048251475401406E-2</v>
          </cell>
          <cell r="G66">
            <v>0.157932376061728</v>
          </cell>
          <cell r="H66">
            <v>0.25217450412851899</v>
          </cell>
        </row>
        <row r="67">
          <cell r="F67">
            <v>0.1225174559551076</v>
          </cell>
          <cell r="G67">
            <v>0.24489105866520999</v>
          </cell>
          <cell r="H67">
            <v>0.336065300135721</v>
          </cell>
        </row>
        <row r="68">
          <cell r="F68">
            <v>9.5350181446453505E-3</v>
          </cell>
          <cell r="G68">
            <v>1.0280238362718741E-2</v>
          </cell>
          <cell r="H68">
            <v>1.7190629460701393E-2</v>
          </cell>
        </row>
        <row r="69">
          <cell r="F69">
            <v>7.8195536862669696E-2</v>
          </cell>
          <cell r="G69">
            <v>0.31753788552777301</v>
          </cell>
          <cell r="H69">
            <v>0.36336134439317203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3.0503213186785008E-4</v>
          </cell>
        </row>
      </sheetData>
      <sheetData sheetId="67">
        <row r="5">
          <cell r="F5">
            <v>1.3065243248745349E-5</v>
          </cell>
          <cell r="G5">
            <v>1.6567284897554823E-5</v>
          </cell>
          <cell r="H5">
            <v>1.0386979274356177E-5</v>
          </cell>
        </row>
        <row r="12">
          <cell r="F12">
            <v>8.7477989834834489E-6</v>
          </cell>
          <cell r="G12">
            <v>6.5336537045134955E-6</v>
          </cell>
          <cell r="H12">
            <v>5.174976188223593E-6</v>
          </cell>
        </row>
        <row r="19">
          <cell r="F19">
            <v>4.3847641624288851</v>
          </cell>
          <cell r="G19">
            <v>5.0730885546984554</v>
          </cell>
          <cell r="H19">
            <v>9.3766066423687882</v>
          </cell>
        </row>
        <row r="20">
          <cell r="F20">
            <v>7.7412457958317233</v>
          </cell>
          <cell r="G20">
            <v>7.4385120762988972</v>
          </cell>
          <cell r="H20">
            <v>7.1138519919544931</v>
          </cell>
        </row>
        <row r="21">
          <cell r="F21">
            <v>7.1965167525914154E-5</v>
          </cell>
          <cell r="G21">
            <v>7.2892080525807992E-5</v>
          </cell>
          <cell r="H21">
            <v>7.3098285353693715E-5</v>
          </cell>
        </row>
        <row r="28">
          <cell r="F28">
            <v>8.7240838802960887</v>
          </cell>
          <cell r="G28">
            <v>8.724086491898845</v>
          </cell>
          <cell r="H28">
            <v>13.402517325889635</v>
          </cell>
        </row>
        <row r="29">
          <cell r="F29">
            <v>0</v>
          </cell>
          <cell r="G29">
            <v>0</v>
          </cell>
          <cell r="H29">
            <v>1.1383439213620799E-4</v>
          </cell>
        </row>
        <row r="30">
          <cell r="F30">
            <v>0</v>
          </cell>
          <cell r="G30">
            <v>0</v>
          </cell>
          <cell r="H30">
            <v>1.0712252549673298E-4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2.6855635216725493</v>
          </cell>
          <cell r="G38">
            <v>3.0850078073432003</v>
          </cell>
          <cell r="H38">
            <v>3.4767945542886549</v>
          </cell>
        </row>
        <row r="39">
          <cell r="F39">
            <v>2.4509810216748789</v>
          </cell>
          <cell r="G39">
            <v>2.8155340681749701</v>
          </cell>
          <cell r="H39">
            <v>3.1730984577556742</v>
          </cell>
        </row>
      </sheetData>
      <sheetData sheetId="68">
        <row r="3">
          <cell r="F3">
            <v>54.876074858566604</v>
          </cell>
          <cell r="G3">
            <v>55.502367852213631</v>
          </cell>
          <cell r="H3">
            <v>57.03796182875503</v>
          </cell>
        </row>
        <row r="6">
          <cell r="F6">
            <v>9.8813505450379129</v>
          </cell>
          <cell r="G6">
            <v>14.685417315320981</v>
          </cell>
          <cell r="H6">
            <v>15.16072968140943</v>
          </cell>
        </row>
        <row r="11">
          <cell r="F11">
            <v>66.872315116967215</v>
          </cell>
          <cell r="G11">
            <v>65.835097897884069</v>
          </cell>
          <cell r="H11">
            <v>69.826482979598552</v>
          </cell>
        </row>
        <row r="18">
          <cell r="F18">
            <v>7.624269233838792E-5</v>
          </cell>
          <cell r="G18">
            <v>2.5477775756180704E-4</v>
          </cell>
          <cell r="H18">
            <v>6.2873572181124671E-5</v>
          </cell>
        </row>
        <row r="19">
          <cell r="F19">
            <v>14.194327305021982</v>
          </cell>
          <cell r="G19">
            <v>15.235958087577847</v>
          </cell>
          <cell r="H19">
            <v>21.298155566423812</v>
          </cell>
        </row>
        <row r="21">
          <cell r="F21">
            <v>10.792286122901059</v>
          </cell>
          <cell r="G21">
            <v>10.735113520195601</v>
          </cell>
          <cell r="H21">
            <v>5.3999663862897878</v>
          </cell>
        </row>
        <row r="22">
          <cell r="F22">
            <v>8.5476441170395337E-2</v>
          </cell>
          <cell r="G22">
            <v>5.8706440621148936E-2</v>
          </cell>
          <cell r="H22">
            <v>5.301562898562457E-2</v>
          </cell>
        </row>
        <row r="23">
          <cell r="F23">
            <v>8.9726961624050716</v>
          </cell>
          <cell r="G23">
            <v>8.8157057628934457</v>
          </cell>
          <cell r="H23">
            <v>9.1356613956033161</v>
          </cell>
        </row>
        <row r="24">
          <cell r="F24">
            <v>4.6073445937236501</v>
          </cell>
          <cell r="G24">
            <v>4.6449707748717532</v>
          </cell>
          <cell r="H24">
            <v>6.2590657283225219</v>
          </cell>
        </row>
        <row r="33">
          <cell r="F33">
            <v>14.536272019831147</v>
          </cell>
          <cell r="G33">
            <v>14.482371195611465</v>
          </cell>
          <cell r="H33">
            <v>15.157564314215088</v>
          </cell>
        </row>
        <row r="34">
          <cell r="F34">
            <v>3.8525617020658998</v>
          </cell>
          <cell r="G34">
            <v>3.710237670897218</v>
          </cell>
          <cell r="H34">
            <v>0</v>
          </cell>
        </row>
        <row r="35">
          <cell r="F35">
            <v>1.0497896077385347E-4</v>
          </cell>
          <cell r="G35">
            <v>3.8164400985663037E-4</v>
          </cell>
          <cell r="H35">
            <v>0</v>
          </cell>
        </row>
        <row r="36">
          <cell r="F36">
            <v>0.89867084703266775</v>
          </cell>
          <cell r="G36">
            <v>1.0218276226500449</v>
          </cell>
          <cell r="H36">
            <v>1.021827719857179</v>
          </cell>
        </row>
        <row r="37">
          <cell r="F37">
            <v>9.6560360515828236</v>
          </cell>
          <cell r="G37">
            <v>4.9060322917340589</v>
          </cell>
          <cell r="H37">
            <v>0.43473693801921309</v>
          </cell>
        </row>
        <row r="38">
          <cell r="F38">
            <v>2.2693322872008905</v>
          </cell>
          <cell r="G38">
            <v>1.8878980739934623</v>
          </cell>
          <cell r="H38">
            <v>1.0414164400044232</v>
          </cell>
        </row>
        <row r="39">
          <cell r="F39">
            <v>9.264026300046396</v>
          </cell>
          <cell r="G39">
            <v>10.679653305050559</v>
          </cell>
          <cell r="H39">
            <v>11.094281267048547</v>
          </cell>
        </row>
        <row r="55">
          <cell r="F55">
            <v>10.576618431378886</v>
          </cell>
          <cell r="G55">
            <v>10.576618479000622</v>
          </cell>
          <cell r="H55">
            <v>10.703314395395418</v>
          </cell>
        </row>
        <row r="56">
          <cell r="F56">
            <v>6.6409365835194549</v>
          </cell>
          <cell r="G56">
            <v>6.6413575336346611</v>
          </cell>
          <cell r="H56">
            <v>8.8142355628115041</v>
          </cell>
        </row>
        <row r="57">
          <cell r="F57">
            <v>3.7387224803063797</v>
          </cell>
          <cell r="G57">
            <v>3.7385192854263463</v>
          </cell>
          <cell r="H57">
            <v>0.81371046728597207</v>
          </cell>
        </row>
        <row r="58">
          <cell r="F58">
            <v>7.3281875805198077E-5</v>
          </cell>
          <cell r="G58">
            <v>2.692021434526203E-4</v>
          </cell>
          <cell r="H58">
            <v>0</v>
          </cell>
        </row>
        <row r="59">
          <cell r="F59">
            <v>9.878224087260234</v>
          </cell>
          <cell r="G59">
            <v>5.6208119649913915</v>
          </cell>
          <cell r="H59">
            <v>1.2409725292103229</v>
          </cell>
        </row>
        <row r="60">
          <cell r="F60">
            <v>5.8403361402504953E-4</v>
          </cell>
          <cell r="G60">
            <v>1.6320693380983528E-4</v>
          </cell>
          <cell r="H60">
            <v>3.2930521215328377E-4</v>
          </cell>
        </row>
        <row r="61">
          <cell r="F61">
            <v>5.127321059756583E-5</v>
          </cell>
          <cell r="G61">
            <v>1.7197498635421974E-4</v>
          </cell>
          <cell r="H61">
            <v>4.2754029083164795E-5</v>
          </cell>
        </row>
        <row r="62">
          <cell r="F62">
            <v>6.167077566856781</v>
          </cell>
          <cell r="G62">
            <v>7.1833038842212895</v>
          </cell>
          <cell r="H62">
            <v>11.294828313442572</v>
          </cell>
        </row>
        <row r="63">
          <cell r="F63">
            <v>7.1660376807446635</v>
          </cell>
          <cell r="G63">
            <v>7.203795793048033</v>
          </cell>
          <cell r="H63">
            <v>8.1311587034563271</v>
          </cell>
        </row>
        <row r="64">
          <cell r="F64">
            <v>3.7222891220084411</v>
          </cell>
          <cell r="G64">
            <v>3.3562246410906527</v>
          </cell>
          <cell r="H64">
            <v>6.0274847318090821</v>
          </cell>
        </row>
        <row r="65">
          <cell r="F65">
            <v>3.102353724108847</v>
          </cell>
          <cell r="G65">
            <v>3.1023538951900327</v>
          </cell>
          <cell r="H65">
            <v>3.1023542120846033</v>
          </cell>
        </row>
        <row r="66">
          <cell r="F66">
            <v>5.698327072891761</v>
          </cell>
          <cell r="G66">
            <v>5.6681399386632858</v>
          </cell>
          <cell r="H66">
            <v>2.937581714141642</v>
          </cell>
        </row>
        <row r="67">
          <cell r="F67">
            <v>8.5476441170395337E-2</v>
          </cell>
          <cell r="G67">
            <v>5.8706440621148936E-2</v>
          </cell>
          <cell r="H67">
            <v>5.301562898562457E-2</v>
          </cell>
        </row>
        <row r="68">
          <cell r="F68">
            <v>6.586722699332987</v>
          </cell>
          <cell r="G68">
            <v>7.5932334998909452</v>
          </cell>
          <cell r="H68">
            <v>7.9878825122749539</v>
          </cell>
        </row>
        <row r="69">
          <cell r="F69">
            <v>7.0243104818070101</v>
          </cell>
          <cell r="G69">
            <v>7.0243117906514296</v>
          </cell>
          <cell r="H69">
            <v>7.381578640427179</v>
          </cell>
        </row>
        <row r="70">
          <cell r="F70">
            <v>7.3413235580099512</v>
          </cell>
          <cell r="G70">
            <v>10.535763741081434</v>
          </cell>
          <cell r="H70">
            <v>10.60655241995252</v>
          </cell>
        </row>
        <row r="71">
          <cell r="F71">
            <v>77.729128518096203</v>
          </cell>
          <cell r="G71">
            <v>78.303745271574897</v>
          </cell>
          <cell r="H71">
            <v>79.095041890518971</v>
          </cell>
        </row>
      </sheetData>
      <sheetData sheetId="69">
        <row r="3">
          <cell r="F3">
            <v>55.398102941444527</v>
          </cell>
          <cell r="G3">
            <v>54.679036657464124</v>
          </cell>
          <cell r="H3">
            <v>52.274394573019791</v>
          </cell>
        </row>
        <row r="6">
          <cell r="F6">
            <v>6.834805097857453</v>
          </cell>
          <cell r="G6">
            <v>6.9637897563229041</v>
          </cell>
          <cell r="H6">
            <v>8.4741327124175445</v>
          </cell>
        </row>
        <row r="11">
          <cell r="F11">
            <v>61.153940028579555</v>
          </cell>
          <cell r="G11">
            <v>61.661445431799145</v>
          </cell>
          <cell r="H11">
            <v>59.300104409695095</v>
          </cell>
        </row>
        <row r="12">
          <cell r="F12">
            <v>8.5392643734822311</v>
          </cell>
          <cell r="G12">
            <v>3.5359353364741968</v>
          </cell>
          <cell r="H12">
            <v>0</v>
          </cell>
        </row>
        <row r="13">
          <cell r="F13">
            <v>9.8016845321985822E-5</v>
          </cell>
          <cell r="G13">
            <v>3.8101386934424985E-5</v>
          </cell>
          <cell r="H13">
            <v>0.2451233668047757</v>
          </cell>
        </row>
        <row r="14">
          <cell r="F14">
            <v>13.254692236207545</v>
          </cell>
          <cell r="G14">
            <v>10.92809929439696</v>
          </cell>
          <cell r="H14">
            <v>10.713833428471958</v>
          </cell>
        </row>
        <row r="15">
          <cell r="F15">
            <v>3.9893185577389311E-5</v>
          </cell>
          <cell r="G15">
            <v>0.14297912778850613</v>
          </cell>
          <cell r="H15">
            <v>2.5859856667690813E-5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8.024530503341083</v>
          </cell>
          <cell r="G17">
            <v>8.5539650419389126</v>
          </cell>
          <cell r="H17">
            <v>7.9424423166963543</v>
          </cell>
        </row>
        <row r="19">
          <cell r="F19">
            <v>0.87146853361289423</v>
          </cell>
          <cell r="G19">
            <v>1.0806218982251417</v>
          </cell>
          <cell r="H19">
            <v>1.3122302711431812</v>
          </cell>
        </row>
        <row r="20">
          <cell r="F20">
            <v>3.4916546164708408E-4</v>
          </cell>
          <cell r="G20">
            <v>1.1610698268703219E-2</v>
          </cell>
          <cell r="H20">
            <v>2.6438883348763226E-2</v>
          </cell>
        </row>
        <row r="21">
          <cell r="F21">
            <v>15.177306769296099</v>
          </cell>
          <cell r="G21">
            <v>20.162769328948045</v>
          </cell>
          <cell r="H21">
            <v>22.249479863409018</v>
          </cell>
        </row>
        <row r="28">
          <cell r="F28">
            <v>5.7558370871350277</v>
          </cell>
          <cell r="G28">
            <v>6.982408774335024</v>
          </cell>
          <cell r="H28">
            <v>7.0257098366753095</v>
          </cell>
        </row>
        <row r="47">
          <cell r="F47">
            <v>18.469973347606487</v>
          </cell>
          <cell r="G47">
            <v>24.170219812538416</v>
          </cell>
          <cell r="H47">
            <v>26.278201619498642</v>
          </cell>
        </row>
        <row r="48">
          <cell r="F48">
            <v>6.9762641793204727</v>
          </cell>
          <cell r="G48">
            <v>2.8887267814655977</v>
          </cell>
          <cell r="H48">
            <v>0.20206257680714065</v>
          </cell>
        </row>
        <row r="49">
          <cell r="F49">
            <v>9.9055578273432623</v>
          </cell>
          <cell r="G49">
            <v>7.7033616284472402</v>
          </cell>
          <cell r="H49">
            <v>7.5844456168339409</v>
          </cell>
        </row>
        <row r="50">
          <cell r="F50">
            <v>3.7618617693094452</v>
          </cell>
          <cell r="G50">
            <v>4.7338940709697477</v>
          </cell>
          <cell r="H50">
            <v>4.667937803407141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6.6110898314800925</v>
          </cell>
          <cell r="G52">
            <v>7.0472697790921197</v>
          </cell>
          <cell r="H52">
            <v>6.5434606566909066</v>
          </cell>
        </row>
        <row r="53">
          <cell r="F53">
            <v>6.1500317404751321</v>
          </cell>
          <cell r="G53">
            <v>5.201141378998976</v>
          </cell>
          <cell r="H53">
            <v>3.4149080822270239</v>
          </cell>
        </row>
        <row r="54">
          <cell r="F54">
            <v>0.87579809376382556</v>
          </cell>
          <cell r="G54">
            <v>0.94920241181848708</v>
          </cell>
          <cell r="H54">
            <v>0.79557202328328691</v>
          </cell>
        </row>
        <row r="55">
          <cell r="F55">
            <v>0.87146853361289423</v>
          </cell>
          <cell r="G55">
            <v>1.0806218982251417</v>
          </cell>
          <cell r="H55">
            <v>1.3122302711431812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6.834805097857453</v>
          </cell>
          <cell r="G58">
            <v>6.9637897563229041</v>
          </cell>
          <cell r="H58">
            <v>8.4741327124175445</v>
          </cell>
        </row>
        <row r="59">
          <cell r="F59">
            <v>60.695467745618203</v>
          </cell>
          <cell r="G59">
            <v>60.941390899556879</v>
          </cell>
          <cell r="H59">
            <v>59.422916775181527</v>
          </cell>
        </row>
      </sheetData>
      <sheetData sheetId="70">
        <row r="3">
          <cell r="F3">
            <v>48.972980706575832</v>
          </cell>
          <cell r="G3">
            <v>47.67539153054183</v>
          </cell>
          <cell r="H3">
            <v>44.278258568653634</v>
          </cell>
        </row>
        <row r="10">
          <cell r="F10">
            <v>15.095909218766463</v>
          </cell>
          <cell r="G10">
            <v>19.699164590289026</v>
          </cell>
          <cell r="H10">
            <v>28.377422043999879</v>
          </cell>
        </row>
        <row r="15">
          <cell r="F15">
            <v>75.796627394233781</v>
          </cell>
          <cell r="G15">
            <v>76.919469649457398</v>
          </cell>
          <cell r="H15">
            <v>72.146250475217926</v>
          </cell>
        </row>
        <row r="16">
          <cell r="F16">
            <v>14.68264048058375</v>
          </cell>
          <cell r="G16">
            <v>5.4298814368957791</v>
          </cell>
          <cell r="H16">
            <v>0</v>
          </cell>
        </row>
        <row r="17">
          <cell r="F17">
            <v>9.8033471489767843E-5</v>
          </cell>
          <cell r="G17">
            <v>3.8156455924440507E-5</v>
          </cell>
          <cell r="H17">
            <v>0.53059544113803259</v>
          </cell>
        </row>
        <row r="18">
          <cell r="F18">
            <v>23.119721868340541</v>
          </cell>
          <cell r="G18">
            <v>13.296958045195526</v>
          </cell>
          <cell r="H18">
            <v>7.866454375315624</v>
          </cell>
        </row>
        <row r="19">
          <cell r="F19">
            <v>3.9620890413657028E-5</v>
          </cell>
          <cell r="G19">
            <v>0.19228395100976942</v>
          </cell>
          <cell r="H19">
            <v>2.5811005167308365E-5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11.399612326303117</v>
          </cell>
          <cell r="G21">
            <v>12.220007735208998</v>
          </cell>
          <cell r="H21">
            <v>11.861504117148476</v>
          </cell>
        </row>
        <row r="22">
          <cell r="F22">
            <v>15.065268796861886</v>
          </cell>
          <cell r="G22">
            <v>13.23080669787384</v>
          </cell>
          <cell r="H22">
            <v>8.5699093869447918</v>
          </cell>
        </row>
        <row r="23">
          <cell r="F23">
            <v>1.5342109875182839</v>
          </cell>
          <cell r="G23">
            <v>1.8473439727484073</v>
          </cell>
          <cell r="H23">
            <v>2.126427834327747</v>
          </cell>
        </row>
        <row r="24">
          <cell r="F24">
            <v>5.0776770181296658E-4</v>
          </cell>
          <cell r="G24">
            <v>2.2544630172007578E-2</v>
          </cell>
          <cell r="H24">
            <v>2.2899860560697025E-2</v>
          </cell>
        </row>
        <row r="25">
          <cell r="F25">
            <v>56.464938833748441</v>
          </cell>
          <cell r="G25">
            <v>67.94592884153019</v>
          </cell>
          <cell r="H25">
            <v>73.121176614757829</v>
          </cell>
        </row>
        <row r="26">
          <cell r="F26">
            <v>198.06366610965352</v>
          </cell>
          <cell r="G26">
            <v>191.10526311654786</v>
          </cell>
          <cell r="H26">
            <v>176.24524391641629</v>
          </cell>
        </row>
        <row r="102">
          <cell r="F102">
            <v>2.9083844216625195E-2</v>
          </cell>
          <cell r="G102">
            <v>1.8643864432859571E-2</v>
          </cell>
          <cell r="H102">
            <v>1.4317450313962587E-2</v>
          </cell>
        </row>
        <row r="104">
          <cell r="F104">
            <v>61.189917248020606</v>
          </cell>
          <cell r="G104">
            <v>70.640339301306952</v>
          </cell>
          <cell r="H104">
            <v>71.388757334563252</v>
          </cell>
        </row>
        <row r="105">
          <cell r="F105">
            <v>10.662141225774533</v>
          </cell>
          <cell r="G105">
            <v>3.7320633689965077</v>
          </cell>
          <cell r="H105">
            <v>0.39631558145511681</v>
          </cell>
        </row>
        <row r="106">
          <cell r="F106">
            <v>13.582592808581117</v>
          </cell>
          <cell r="G106">
            <v>5.4757496053933998</v>
          </cell>
          <cell r="H106">
            <v>1.9419010527053007</v>
          </cell>
        </row>
        <row r="107">
          <cell r="F107">
            <v>7.1443237400234629</v>
          </cell>
          <cell r="G107">
            <v>8.3931439596740862</v>
          </cell>
          <cell r="H107">
            <v>7.8117665199153699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7.6716946808482875</v>
          </cell>
          <cell r="G110">
            <v>8.0789737483872077</v>
          </cell>
          <cell r="H110">
            <v>7.5789774251831892</v>
          </cell>
        </row>
        <row r="111">
          <cell r="F111">
            <v>8.0960427710028444</v>
          </cell>
          <cell r="G111">
            <v>6.8301698475386807</v>
          </cell>
          <cell r="H111">
            <v>4.1466086142470395</v>
          </cell>
        </row>
        <row r="112">
          <cell r="F112">
            <v>0.65582619602803482</v>
          </cell>
          <cell r="G112">
            <v>0.69269946691430473</v>
          </cell>
          <cell r="H112">
            <v>0.58520717901280905</v>
          </cell>
        </row>
        <row r="113">
          <cell r="F113">
            <v>4.1831893242501125E-2</v>
          </cell>
          <cell r="G113">
            <v>4.4040438900991172E-2</v>
          </cell>
          <cell r="H113">
            <v>4.4083834623696569E-2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124.16936362650448</v>
          </cell>
          <cell r="G116">
            <v>123.60498819183404</v>
          </cell>
          <cell r="H116">
            <v>122.2853570360196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25.602638260595889</v>
          </cell>
          <cell r="G224">
            <v>28.644912221769516</v>
          </cell>
          <cell r="H224">
            <v>30.883614048584736</v>
          </cell>
        </row>
        <row r="231">
          <cell r="F231">
            <v>2.0284505897297529</v>
          </cell>
          <cell r="G231">
            <v>1.9092457376725445</v>
          </cell>
          <cell r="H231">
            <v>1.6935431123841211</v>
          </cell>
        </row>
        <row r="233">
          <cell r="F233">
            <v>73.973690056853457</v>
          </cell>
          <cell r="G233">
            <v>86.834463246696743</v>
          </cell>
          <cell r="H233">
            <v>90.77184389220092</v>
          </cell>
        </row>
        <row r="234">
          <cell r="F234">
            <v>11.984857780723802</v>
          </cell>
          <cell r="G234">
            <v>4.3628108175654505</v>
          </cell>
          <cell r="H234">
            <v>0.43997035272426599</v>
          </cell>
        </row>
        <row r="235">
          <cell r="F235">
            <v>15.715297126772411</v>
          </cell>
          <cell r="G235">
            <v>6.6443938828419524</v>
          </cell>
          <cell r="H235">
            <v>2.4106348871981007</v>
          </cell>
        </row>
        <row r="236">
          <cell r="F236">
            <v>10.004963073767406</v>
          </cell>
          <cell r="G236">
            <v>12.132477239764363</v>
          </cell>
          <cell r="H236">
            <v>11.936820655024448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9.2650234916292984</v>
          </cell>
          <cell r="G239">
            <v>9.9040303416756359</v>
          </cell>
          <cell r="H239">
            <v>9.5645453609718309</v>
          </cell>
        </row>
        <row r="240">
          <cell r="F240">
            <v>9.3231078620135275</v>
          </cell>
          <cell r="G240">
            <v>8.0046751113131336</v>
          </cell>
          <cell r="H240">
            <v>5.0448082255160251</v>
          </cell>
        </row>
        <row r="241">
          <cell r="F241">
            <v>0.84649169932597124</v>
          </cell>
          <cell r="G241">
            <v>0.91129547303627301</v>
          </cell>
          <cell r="H241">
            <v>0.80295472025701464</v>
          </cell>
        </row>
        <row r="242">
          <cell r="F242">
            <v>1.5342109875182839</v>
          </cell>
          <cell r="G242">
            <v>1.8473439727484073</v>
          </cell>
          <cell r="H242">
            <v>2.126427834327747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15.095909218766463</v>
          </cell>
          <cell r="G244">
            <v>19.699164590289026</v>
          </cell>
          <cell r="H244">
            <v>28.377422043999879</v>
          </cell>
        </row>
        <row r="245">
          <cell r="F245">
            <v>149.77200188710037</v>
          </cell>
          <cell r="G245">
            <v>152.24990041360354</v>
          </cell>
          <cell r="H245">
            <v>153.16897108460435</v>
          </cell>
        </row>
      </sheetData>
      <sheetData sheetId="71">
        <row r="21">
          <cell r="F21">
            <v>16.258809984829007</v>
          </cell>
          <cell r="G21">
            <v>7.5569498730769977</v>
          </cell>
          <cell r="H21">
            <v>0.16085196781797384</v>
          </cell>
        </row>
        <row r="22">
          <cell r="F22">
            <v>39.369263267699267</v>
          </cell>
          <cell r="G22">
            <v>20.87346887580409</v>
          </cell>
          <cell r="H22">
            <v>6.3902174159286729E-2</v>
          </cell>
        </row>
        <row r="23">
          <cell r="F23">
            <v>2.5501156632653412</v>
          </cell>
          <cell r="G23">
            <v>2.120537142036838</v>
          </cell>
          <cell r="H23">
            <v>-1.0648459891626771E-8</v>
          </cell>
        </row>
        <row r="24">
          <cell r="F24">
            <v>9.3243525256478221E-2</v>
          </cell>
          <cell r="G24">
            <v>6.3200213643058792E-2</v>
          </cell>
          <cell r="H24">
            <v>3.8292389148925541E-3</v>
          </cell>
        </row>
        <row r="25">
          <cell r="F25">
            <v>1.8054000166063837</v>
          </cell>
          <cell r="G25">
            <v>0.43775931308831439</v>
          </cell>
          <cell r="H25">
            <v>0.9114881031244888</v>
          </cell>
        </row>
        <row r="26">
          <cell r="F26">
            <v>2.9713060326692893</v>
          </cell>
          <cell r="G26">
            <v>2.9710136209925673</v>
          </cell>
          <cell r="H26">
            <v>3.2322831321284471</v>
          </cell>
        </row>
        <row r="27">
          <cell r="F27">
            <v>3.474669854028693E-5</v>
          </cell>
          <cell r="G27">
            <v>1.1689302538770577E-2</v>
          </cell>
          <cell r="H27">
            <v>1.7646601448954287E-5</v>
          </cell>
        </row>
        <row r="28">
          <cell r="F28">
            <v>3.7593762398877798E-4</v>
          </cell>
          <cell r="G28">
            <v>9.6252264382109507E-5</v>
          </cell>
          <cell r="H28">
            <v>1.69077519836156</v>
          </cell>
        </row>
        <row r="32">
          <cell r="F32">
            <v>0.16733193999949741</v>
          </cell>
          <cell r="G32">
            <v>0.64953131909429251</v>
          </cell>
          <cell r="H32">
            <v>1.0727672692526673</v>
          </cell>
        </row>
      </sheetData>
      <sheetData sheetId="72">
        <row r="11">
          <cell r="F11">
            <v>68.12714204375321</v>
          </cell>
          <cell r="G11">
            <v>52.509672891649373</v>
          </cell>
          <cell r="H11">
            <v>0</v>
          </cell>
        </row>
        <row r="12">
          <cell r="F12">
            <v>17.031785512885858</v>
          </cell>
          <cell r="G12">
            <v>30.628429595268003</v>
          </cell>
          <cell r="H12">
            <v>78.811900298971409</v>
          </cell>
        </row>
        <row r="13">
          <cell r="F13">
            <v>1.50720291883885E-5</v>
          </cell>
          <cell r="G13">
            <v>0.32957789272303323</v>
          </cell>
          <cell r="H13">
            <v>0.32957800553353533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2.2530141940060204</v>
          </cell>
          <cell r="G53">
            <v>2.3874093843176132</v>
          </cell>
          <cell r="H53">
            <v>2.3405637134881454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4.0037966521813004</v>
          </cell>
          <cell r="G55">
            <v>3.7114639676377106</v>
          </cell>
          <cell r="H55">
            <v>3.1080426981916114</v>
          </cell>
        </row>
        <row r="56">
          <cell r="F56">
            <v>1.4210420756293141</v>
          </cell>
          <cell r="G56">
            <v>0.92123561480595295</v>
          </cell>
          <cell r="H56">
            <v>0.60769145886259002</v>
          </cell>
        </row>
        <row r="57">
          <cell r="F57">
            <v>2.47349775776207</v>
          </cell>
          <cell r="G57">
            <v>1.18984757814052</v>
          </cell>
          <cell r="H57">
            <v>0.44638523454659296</v>
          </cell>
        </row>
        <row r="58">
          <cell r="F58">
            <v>4.3402992933819293</v>
          </cell>
          <cell r="G58">
            <v>2.2791209644978014</v>
          </cell>
          <cell r="H58">
            <v>1.7018499436644297E-2</v>
          </cell>
        </row>
        <row r="59">
          <cell r="F59">
            <v>0</v>
          </cell>
          <cell r="G59">
            <v>-1.3833645651720234</v>
          </cell>
          <cell r="H59">
            <v>-4.2931036458745728</v>
          </cell>
        </row>
        <row r="60">
          <cell r="F60">
            <v>0</v>
          </cell>
          <cell r="G60">
            <v>-0.43872749218423213</v>
          </cell>
          <cell r="H60">
            <v>-2.2265888555990059</v>
          </cell>
        </row>
        <row r="61">
          <cell r="F61">
            <v>0</v>
          </cell>
          <cell r="G61">
            <v>0</v>
          </cell>
          <cell r="H61">
            <v>-7.7929308548318929E-6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-3.8297266387882836E-7</v>
          </cell>
          <cell r="H63">
            <v>-1.3472326781415449E-6</v>
          </cell>
        </row>
        <row r="77">
          <cell r="B77">
            <v>0</v>
          </cell>
          <cell r="C77">
            <v>1.9047619694937277</v>
          </cell>
        </row>
        <row r="78">
          <cell r="B78">
            <v>0</v>
          </cell>
          <cell r="C78">
            <v>1.6814340605427389E-2</v>
          </cell>
        </row>
        <row r="79">
          <cell r="B79">
            <v>0</v>
          </cell>
          <cell r="C79">
            <v>4.598124835781241</v>
          </cell>
        </row>
      </sheetData>
      <sheetData sheetId="75">
        <row r="99">
          <cell r="J99">
            <v>16.170838500247392</v>
          </cell>
          <cell r="K99">
            <v>7.7014641492148508</v>
          </cell>
          <cell r="L99">
            <v>2.0429029001350507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91" activePane="bottomRight" state="frozen"/>
      <selection activeCell="B1" sqref="B1"/>
      <selection pane="topRight" activeCell="F1" sqref="F1"/>
      <selection pane="bottomLeft" activeCell="B2" sqref="B2"/>
      <selection pane="bottomRight" activeCell="H297" sqref="H297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430.27524108383705</v>
      </c>
      <c r="K2" s="3">
        <f t="shared" si="0"/>
        <v>482.66317319358012</v>
      </c>
      <c r="L2" s="3">
        <f t="shared" ref="L2" si="1">L3+L8+L11+L12+L16+L17+L18+L19</f>
        <v>581.4136683721639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50.156162960733951</v>
      </c>
      <c r="K3" s="1">
        <f t="shared" si="4"/>
        <v>50.156163047057348</v>
      </c>
      <c r="L3" s="1">
        <f t="shared" ref="L3" si="5">SUM(L4:L7)</f>
        <v>50.156163182566367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15.849139727206524</v>
      </c>
      <c r="K4" s="1" cm="1">
        <f t="array" ref="K4">SUMPRODUCT(("RNWWOD1"=[2]OUT_PrimaryEnergyCons!$A$1:$A$1000)*1,[2]OUT_PrimaryEnergyCons!I$1:I$1000)</f>
        <v>16.266396700864433</v>
      </c>
      <c r="L4" s="1" cm="1">
        <f t="array" ref="L4">SUMPRODUCT(("RNWWOD1"=[2]OUT_PrimaryEnergyCons!$A$1:$A$1000)*1,[2]OUT_PrimaryEnergyCons!J$1:J$1000)</f>
        <v>16.956994231215972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7.6690267522549851</v>
      </c>
      <c r="K5" s="1" cm="1">
        <f t="array" ref="K5">SUMPRODUCT(("RNWWOD2"=[2]OUT_PrimaryEnergyCons!$A$1:$A$1000)*1,[2]OUT_PrimaryEnergyCons!I$1:I$1000)</f>
        <v>7.6690268061123446</v>
      </c>
      <c r="L5" s="1" cm="1">
        <f t="array" ref="L5">SUMPRODUCT(("RNWWOD2"=[2]OUT_PrimaryEnergyCons!$A$1:$A$1000)*1,[2]OUT_PrimaryEnergyCons!J$1:J$1000)</f>
        <v>7.669026847221116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4.8053860657936882</v>
      </c>
      <c r="K6" s="1" cm="1">
        <f t="array" ref="K6">SUMPRODUCT(("RNWWOD3"=[2]OUT_PrimaryEnergyCons!$A$1:$A$1000)*1,[2]OUT_PrimaryEnergyCons!I$1:I$1000)</f>
        <v>4.805386132099116</v>
      </c>
      <c r="L6" s="1" cm="1">
        <f t="array" ref="L6">SUMPRODUCT(("RNWWOD3"=[2]OUT_PrimaryEnergyCons!$A$1:$A$1000)*1,[2]OUT_PrimaryEnergyCons!J$1:J$1000)</f>
        <v>4.8053861673221476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21.832610415478754</v>
      </c>
      <c r="K7" s="1" cm="1">
        <f t="array" ref="K7">SUMPRODUCT(("RNWWOD4"=[2]OUT_PrimaryEnergyCons!$A$1:$A$1000)*1+("RNWWOD5"=[2]OUT_PrimaryEnergyCons!$A$1:$A$1000)*1,[2]OUT_PrimaryEnergyCons!I$1:I$1000)</f>
        <v>21.415353407981456</v>
      </c>
      <c r="L7" s="1" cm="1">
        <f t="array" ref="L7">SUMPRODUCT(("RNWWOD4"=[2]OUT_PrimaryEnergyCons!$A$1:$A$1000)*1+("RNWWOD5"=[2]OUT_PrimaryEnergyCons!$A$1:$A$1000)*1,[2]OUT_PrimaryEnergyCons!J$1:J$1000)</f>
        <v>20.724755936807131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72.390914816928472</v>
      </c>
      <c r="K8" s="1">
        <f t="shared" si="9"/>
        <v>72.856972721173975</v>
      </c>
      <c r="L8" s="1">
        <f t="shared" ref="L8" si="10">SUM(L9:L10)</f>
        <v>73.306229778230488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34.937583637108645</v>
      </c>
      <c r="K9" s="1" cm="1">
        <f t="array" ref="K9">SUMPRODUCT(("RNNWWST1"=[2]OUT_PrimaryEnergyCons!$A$1:$A$1000)*1,[2]OUT_PrimaryEnergyCons!I$1:I$1000)</f>
        <v>35.403639034827073</v>
      </c>
      <c r="L9" s="1" cm="1">
        <f t="array" ref="L9">SUMPRODUCT(("RNNWWST1"=[2]OUT_PrimaryEnergyCons!$A$1:$A$1000)*1,[2]OUT_PrimaryEnergyCons!J$1:J$1000)</f>
        <v>35.852894127031519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37.453331179819834</v>
      </c>
      <c r="K10" s="1" cm="1">
        <f t="array" ref="K10">SUMPRODUCT(("RNWWST1"=[2]OUT_PrimaryEnergyCons!$A$1:$A$1000)*1,[2]OUT_PrimaryEnergyCons!I$1:I$1000)</f>
        <v>37.453333686346895</v>
      </c>
      <c r="L10" s="1" cm="1">
        <f t="array" ref="L10">SUMPRODUCT(("RNWWST1"=[2]OUT_PrimaryEnergyCons!$A$1:$A$1000)*1,[2]OUT_PrimaryEnergyCons!J$1:J$1000)</f>
        <v>37.453335651198977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12.540425504546596</v>
      </c>
      <c r="K11" s="1" cm="1">
        <f t="array" ref="K11">SUMPRODUCT(("mnr"=[2]OUT_PrimaryEnergyCons!$C$1:$C$1000)*1,[2]OUT_PrimaryEnergyCons!I$1:I$1000)</f>
        <v>14.509033266437543</v>
      </c>
      <c r="L11" s="1" cm="1">
        <f t="array" ref="L11">SUMPRODUCT(("mnr"=[2]OUT_PrimaryEnergyCons!$C$1:$C$1000)*1,[2]OUT_PrimaryEnergyCons!J$1:J$1000)</f>
        <v>26.817094997174699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151.42700278896996</v>
      </c>
      <c r="K12" s="1">
        <f t="shared" si="11"/>
        <v>151.85898002482512</v>
      </c>
      <c r="L12" s="1">
        <f t="shared" ref="L12" si="12">SUM(L13:L15)</f>
        <v>152.30386097998445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71.92488130314247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72.955947959382129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74.836042114965252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63.393434092366533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62.362367651452743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60.482273607774367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16.108687393460961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16.540664413990235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16.98554525724483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63.875248907666766</v>
      </c>
      <c r="K16" s="1" cm="1">
        <f t="array" ref="K16">SUMPRODUCT(ISNUMBER(SEARCH("SOL",[2]OUT_PrimaryEnergyCons!$C$1:$C$1000))*1,[2]OUT_PrimaryEnergyCons!I$1:I$1000)</f>
        <v>93.321775214656739</v>
      </c>
      <c r="L16" s="1" cm="1">
        <f t="array" ref="L16">SUMPRODUCT(ISNUMBER(SEARCH("SOL",[2]OUT_PrimaryEnergyCons!$C$1:$C$1000))*1,[2]OUT_PrimaryEnergyCons!J$1:J$1000)</f>
        <v>123.59812898269315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3.6358959082231244</v>
      </c>
      <c r="K17" s="1" cm="1">
        <f t="array" ref="K17">SUMPRODUCT(ISNUMBER(SEARCH("wnd",[2]OUT_PrimaryEnergyCons!$C$1:$C$1000))*1,[2]OUT_PrimaryEnergyCons!I$1:I$1000)</f>
        <v>7.1993346019722031</v>
      </c>
      <c r="L17" s="1" cm="1">
        <f t="array" ref="L17">SUMPRODUCT(ISNUMBER(SEARCH("wnd",[2]OUT_PrimaryEnergyCons!$C$1:$C$1000))*1,[2]OUT_PrimaryEnergyCons!J$1:J$1000)</f>
        <v>9.3572354982146368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76.249590196768196</v>
      </c>
      <c r="K18" s="1">
        <f>[2]Overview!G$9-K19</f>
        <v>92.753668945349986</v>
      </c>
      <c r="L18" s="1">
        <f>[2]Overview!H$9-L19</f>
        <v>101.62972220648936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7.2453721071848104E-3</v>
      </c>
      <c r="L19" s="1">
        <f>+[2]Overview!H$28</f>
        <v>44.245232746810736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386.84636647307889</v>
      </c>
      <c r="K20" s="3">
        <f t="shared" si="13"/>
        <v>260.7687432869248</v>
      </c>
      <c r="L20" s="3">
        <f t="shared" ref="L20" si="14">SUM(L21:L22,L41,L50:L51,L56)</f>
        <v>148.04245788283623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7.624269233838792E-5</v>
      </c>
      <c r="K21" s="1" cm="1">
        <f t="array" ref="K21">SUMPRODUCT(("COA"=[2]OUT_PrimaryEnergyCons!$C$4:$C$10000)*1,[2]OUT_PrimaryEnergyCons!I$4:I$10000)</f>
        <v>2.5477775756180704E-4</v>
      </c>
      <c r="L21" s="1" cm="1">
        <f t="array" ref="L21">SUMPRODUCT(("COA"=[2]OUT_PrimaryEnergyCons!$C$4:$C$10000)*1,[2]OUT_PrimaryEnergyCons!J$4:J$10000)</f>
        <v>6.2873572181124671E-5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110.20743497959998</v>
      </c>
      <c r="K22" s="1">
        <f t="shared" si="15"/>
        <v>80.364365660382333</v>
      </c>
      <c r="L22" s="1">
        <f t="shared" ref="L22" si="16">L23+L29</f>
        <v>86.561530929489948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87.287955336440518</v>
      </c>
      <c r="K23" s="1">
        <f t="shared" si="20"/>
        <v>45.236985216850606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28.241914430913098</v>
      </c>
      <c r="K24" s="1" cm="1">
        <f t="array" ref="K24">SUMPRODUCT(("LFO"=[2]OUT_PrimaryEnergyCons!$C$4:$C$10000)*1,[2]OUT_PrimaryEnergyCons!I$4:I$10000)</f>
        <v>14.230078013461341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1.0676201077373232E-4</v>
      </c>
      <c r="K25" s="1" cm="1">
        <f t="array" ref="K25">SUMPRODUCT(("HFO"=[2]OUT_PrimaryEnergyCons!$C$4:$C$10000)*1,[2]OUT_PrimaryEnergyCons!I$4:I$10000)</f>
        <v>3.8812616920277308E-4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39.956467701676267</v>
      </c>
      <c r="K26" s="1" cm="1">
        <f t="array" ref="K26">SUMPRODUCT(("DSL"=[2]OUT_PrimaryEnergyCons!$C$4:$C$10000)*1,[2]OUT_PrimaryEnergyCons!I$4:I$10000)</f>
        <v>21.184736473795521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16.501315020021647</v>
      </c>
      <c r="K27" s="1" cm="1">
        <f t="array" ref="K27">SUMPRODUCT(("GSL"=[2]OUT_PrimaryEnergyCons!$C$4:$C$10000)*1,[2]OUT_PrimaryEnergyCons!I$4:I$10000)</f>
        <v>7.6696255908696465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2.5881514218187309</v>
      </c>
      <c r="K28" s="1" cm="1">
        <f t="array" ref="K28">SUMPRODUCT(("KER"=[2]OUT_PrimaryEnergyCons!$C$4:$C$10000)*1,[2]OUT_PrimaryEnergyCons!I$4:I$10000)</f>
        <v>2.152157012554901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22.919479643159463</v>
      </c>
      <c r="K29" s="1">
        <f t="shared" si="25"/>
        <v>35.12738044353172</v>
      </c>
      <c r="L29" s="1">
        <f t="shared" ref="L29" si="26">SUM(L30:L32)</f>
        <v>86.561530929489948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4.054998840238774</v>
      </c>
      <c r="K30" s="1" cm="1">
        <f t="array" ref="K30">SUMPRODUCT(ISNUMBER(SEARCH("IMPBDS",[2]OUT_SyntheticFuels!$C$4:$C$1000))*1,("Var_Fout"=[2]OUT_SyntheticFuels!$B$4:$B$1000)*1,[2]OUT_SyntheticFuels!J$4:J$1000)-K32</f>
        <v>4.0545725038854208</v>
      </c>
      <c r="L30" s="1" cm="1">
        <f t="array" ref="L30">SUMPRODUCT(ISNUMBER(SEARCH("IMPBDS",[2]OUT_SyntheticFuels!$C$4:$C$1000))*1,("Var_Fout"=[2]OUT_SyntheticFuels!$B$4:$B$1000)*1,[2]OUT_SyntheticFuels!K$4:K$1000)-L32</f>
        <v>5.1337786323504986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1.832319352410841</v>
      </c>
      <c r="K31" s="1" cm="1">
        <f t="array" ref="K31">SUMPRODUCT(ISNUMBER(SEARCH("IMPeth",[2]OUT_SyntheticFuels!$C$4:$C$1000))*1,("Var_Fout"=[2]OUT_SyntheticFuels!$B$4:$B$1000)*1,[2]OUT_SyntheticFuels!J$4:J$1000)</f>
        <v>0.44428209211391911</v>
      </c>
      <c r="L31" s="1" cm="1">
        <f t="array" ref="L31">SUMPRODUCT(ISNUMBER(SEARCH("IMPeth",[2]OUT_SyntheticFuels!$C$4:$C$1000))*1,("Var_Fout"=[2]OUT_SyntheticFuels!$B$4:$B$1000)*1,[2]OUT_SyntheticFuels!K$4:K$1000)</f>
        <v>0.92507679980647883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17.032161450509847</v>
      </c>
      <c r="K32" s="1">
        <f>SUM([2]Transport_Aviation_Intl!G$12,[2]Transport!G$28)</f>
        <v>30.628525847532384</v>
      </c>
      <c r="L32" s="1">
        <f>SUM([2]Transport_Aviation_Intl!H$12,[2]Transport!H$28)</f>
        <v>80.502675497332973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10.903570576826031</v>
      </c>
      <c r="K33" s="1">
        <f>SUM(K34:K36)</f>
        <v>21.531016046509187</v>
      </c>
      <c r="L33" s="1">
        <f>SUM(L34:L36)</f>
        <v>35.956466956155069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4.054998840238774</v>
      </c>
      <c r="K34" s="1">
        <f>IF(K30-MAX(F30:J30)&lt;0,K30,MAX(F30:J30))</f>
        <v>4.0545725038854208</v>
      </c>
      <c r="L34" s="1">
        <f>IF(L30-MAX(G30:K30)&lt;0,L30,MAX(G30:K30))</f>
        <v>4.40286430881621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1.832319352410841</v>
      </c>
      <c r="K35" s="1">
        <f>IF(K31-MAX(F31:J31)&lt;0,K31,MAX(F31:J31))</f>
        <v>0.44428209211391911</v>
      </c>
      <c r="L35" s="1">
        <f>IF(L31-MAX(G31:K31)&lt;0,L31,MAX(G31:K31))</f>
        <v>0.92507679980647883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17.032161450509847</v>
      </c>
      <c r="L36" s="1">
        <f>IF(L32-MAX(H32:K32)&lt;0,L32,MAX(H32:K32))</f>
        <v>30.628525847532384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12.015909066333432</v>
      </c>
      <c r="K37" s="1">
        <f t="shared" si="29"/>
        <v>13.596364397022537</v>
      </c>
      <c r="L37" s="1">
        <f t="shared" ref="L37" si="30">SUM(L38:L40)</f>
        <v>50.605063973334872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0.73091432353428853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12.015909066333432</v>
      </c>
      <c r="K40" s="1">
        <f t="shared" si="31"/>
        <v>13.596364397022537</v>
      </c>
      <c r="L40" s="1">
        <f t="shared" ref="L40" si="34">L32-L36</f>
        <v>49.874149649800586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52.719944983944416</v>
      </c>
      <c r="K41" s="1">
        <f t="shared" si="36"/>
        <v>37.340416954343709</v>
      </c>
      <c r="L41" s="1">
        <f t="shared" ref="L41" si="37">L42+L45</f>
        <v>21.862748821844697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48.722315997846707</v>
      </c>
      <c r="K42" s="1">
        <f t="shared" si="38"/>
        <v>31.954033110481241</v>
      </c>
      <c r="L42" s="1">
        <f t="shared" ref="L42" si="39">L43+L44</f>
        <v>19.727025450821333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48.722222269075218</v>
      </c>
      <c r="K43" s="1" cm="1">
        <f t="array" ref="K43">SUMPRODUCT(("NGA"=[2]OUT_PrimaryEnergyCons!$C$4:$C$10000)*1,[2]OUT_PrimaryEnergyCons!I$4:I$10000)</f>
        <v>31.953950960433378</v>
      </c>
      <c r="L43" s="1" cm="1">
        <f t="array" ref="L43">SUMPRODUCT(("NGA"=[2]OUT_PrimaryEnergyCons!$C$4:$C$10000)*1,[2]OUT_PrimaryEnergyCons!J$4:J$10000)</f>
        <v>19.726962726706638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9.3728771485903232E-5</v>
      </c>
      <c r="K44" s="1" cm="1">
        <f t="array" ref="K44">SUMPRODUCT(("LNGA"=[2]OUT_PrimaryEnergyCons!$C$4:$C$10000)*1,[2]OUT_PrimaryEnergyCons!I$4:I$10000)</f>
        <v>8.215004786223378E-5</v>
      </c>
      <c r="L44" s="1" cm="1">
        <f t="array" ref="L44">SUMPRODUCT(("LNGA"=[2]OUT_PrimaryEnergyCons!$C$4:$C$10000)*1,[2]OUT_PrimaryEnergyCons!J$4:J$10000)</f>
        <v>6.2724114696727692E-5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3.9976289860977072</v>
      </c>
      <c r="K45" s="1" cm="1">
        <f t="array" ref="K45">SUMPRODUCT(("BIO"=[2]OUT_PrimaryEnergyCons!$C$4:$C$10000)*1+("LBIO"=[2]OUT_PrimaryEnergyCons!$C$4:$C$10000)*1,[2]OUT_PrimaryEnergyCons!I$4:I$10000)</f>
        <v>5.38638384386247</v>
      </c>
      <c r="L45" s="1" cm="1">
        <f t="array" ref="L45">SUMPRODUCT(("BIO"=[2]OUT_PrimaryEnergyCons!$C$4:$C$10000)*1+("LBIO"=[2]OUT_PrimaryEnergyCons!$C$4:$C$10000)*1,[2]OUT_PrimaryEnergyCons!J$4:J$10000)</f>
        <v>2.1357233710233627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3.9976289860977072</v>
      </c>
      <c r="L46" s="1">
        <f t="shared" si="41"/>
        <v>2.1357233710233627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3.9976289860977072</v>
      </c>
      <c r="L47" s="1">
        <f>IF(L45-MAX(H45:K45)&lt;0,L45,MAX(H45:K45))</f>
        <v>2.1357233710233627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0.18975860552533241</v>
      </c>
      <c r="K48" s="1">
        <f t="shared" si="42"/>
        <v>1.3887548577647628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0.18975860552533241</v>
      </c>
      <c r="K49" s="1">
        <f>K45-K47</f>
        <v>1.3887548577647628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167.60363837156825</v>
      </c>
      <c r="K50" s="1" cm="1">
        <f t="array" ref="K50">SUMPRODUCT(("urn"=[2]OUT_PrimaryEnergyCons!$C$4:$C$10000)*1,[2]OUT_PrimaryEnergyCons!I$4:I$10000)</f>
        <v>98.945498934149086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56.315271895273895</v>
      </c>
      <c r="K51" s="1">
        <f t="shared" si="46"/>
        <v>43.818535606630931</v>
      </c>
      <c r="L51" s="1">
        <f t="shared" ref="L51" si="47">SUM(L52:L55)</f>
        <v>39.318443811407178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6.0159052412057408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6.1778739877242748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8.8365496691589538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17.3441991496626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10.763931028280263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10.354723610939548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32.955143217738893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26.87671137718943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20.127153675507632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2.4286666658058758E-5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1.9213436964037667E-5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1.6855801049033851E-5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0.29967135366121012</v>
      </c>
      <c r="L56" s="1" cm="1">
        <f t="array" ref="L56">SUMPRODUCT(("h2"=[2]OUT_PrimaryEnergyCons!$C$4:$C$10000)*1,[2]OUT_PrimaryEnergyCons!J$4:J$10000)</f>
        <v>0.29967144652224964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35.200543848770074</v>
      </c>
      <c r="K57" s="3">
        <f t="shared" si="51"/>
        <v>22.620408778991578</v>
      </c>
      <c r="L57" s="3">
        <f t="shared" si="51"/>
        <v>15.70520796148976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35.200543848770074</v>
      </c>
      <c r="K58" s="1">
        <f t="shared" si="52"/>
        <v>22.620408778991578</v>
      </c>
      <c r="L58" s="1">
        <f t="shared" ref="L58" si="53">SUM(L59:L62)</f>
        <v>15.70520796148976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2.1803108254575278E-5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2.1808537773318585E-5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1.1339543349117529E-5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7.2577294089334231E-5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3.2138274122218508E-4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1.5350008328974705E-4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1.1171329158377071E-4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2.9097937880744187E-4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7.5724067705338456E-5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35.200337755076148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22.619774608333774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15.704967397795416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284.06668334086226</v>
      </c>
      <c r="K63" s="3">
        <f t="shared" si="58"/>
        <v>296.49748580096173</v>
      </c>
      <c r="L63" s="3">
        <f t="shared" ref="L63" si="59">SUM(L64,L66,L74,L82,L130,L151,L159,L161,L169,L173,L167)</f>
        <v>312.08416391312682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55.37944016513427</v>
      </c>
      <c r="K64" s="1">
        <f t="shared" si="60"/>
        <v>32.820799843264332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55.37944016513427</v>
      </c>
      <c r="K65" s="1">
        <f>'[2]Electricity and CHPs'!G14</f>
        <v>32.820799843264332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148.20526531705394</v>
      </c>
      <c r="K66" s="1">
        <f t="shared" si="64"/>
        <v>148.5508471484776</v>
      </c>
      <c r="L66" s="1">
        <f t="shared" ref="L66" si="65">SUM(L67:L69)</f>
        <v>148.90675193574913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71.92488130314247</v>
      </c>
      <c r="K67" s="1">
        <f>'[2]Electricity and CHPs'!G15</f>
        <v>72.955947959382129</v>
      </c>
      <c r="L67" s="1">
        <f>'[2]Electricity and CHPs'!H15</f>
        <v>74.836042114965252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63.393434092366533</v>
      </c>
      <c r="K68" s="1">
        <f>'[2]Electricity and CHPs'!G16</f>
        <v>62.362367651452743</v>
      </c>
      <c r="L68" s="1">
        <f>'[2]Electricity and CHPs'!H16</f>
        <v>60.482273607774367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12.886949921544957</v>
      </c>
      <c r="K69" s="1">
        <f>'[2]Electricity and CHPs'!G17</f>
        <v>13.232531537642719</v>
      </c>
      <c r="L69" s="1">
        <f>'[2]Electricity and CHPs'!H17</f>
        <v>13.58843621300951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0.17152782721347246</v>
      </c>
      <c r="K70" s="1">
        <f t="shared" ref="K70:L70" si="71">SUM(K71:K73)</f>
        <v>0.17152787132401681</v>
      </c>
      <c r="L70" s="1">
        <f t="shared" si="71"/>
        <v>0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6.140921848404369E-5</v>
      </c>
      <c r="K71" s="1">
        <f>'[2]Electricity and CHPs'!G18</f>
        <v>2.871285290592835E-2</v>
      </c>
      <c r="L71" s="1">
        <f>'[2]Electricity and CHPs'!H18</f>
        <v>0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2.6437389980314461E-5</v>
      </c>
      <c r="K72" s="1">
        <f>'[2]Electricity and CHPs'!G28</f>
        <v>0.14281501841808847</v>
      </c>
      <c r="L72" s="1">
        <f>'[2]Electricity and CHPs'!H28</f>
        <v>0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0.17143998060500809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0.17152782721347246</v>
      </c>
      <c r="K74" s="1">
        <f t="shared" si="75"/>
        <v>0.17152787132401681</v>
      </c>
      <c r="L74" s="1">
        <f t="shared" ref="L74" si="76">SUM(L75:L77)</f>
        <v>0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6.140921848404369E-5</v>
      </c>
      <c r="K75" s="1">
        <f t="shared" si="77"/>
        <v>2.871285290592835E-2</v>
      </c>
      <c r="L75" s="1">
        <f t="shared" ref="L75" si="78">L71</f>
        <v>0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2.6437389980314461E-5</v>
      </c>
      <c r="K76" s="1">
        <f>'[2]Electricity and CHPs'!G28</f>
        <v>0.14281501841808847</v>
      </c>
      <c r="L76" s="1">
        <f>'[2]Electricity and CHPs'!H28</f>
        <v>0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0.17143998060500809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1.8799589749242842</v>
      </c>
      <c r="K82" s="1">
        <f t="shared" si="82"/>
        <v>2.175033045955419</v>
      </c>
      <c r="L82" s="1">
        <f t="shared" ref="L82" si="83">SUM(L83:L97)</f>
        <v>2.1476086017159819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0</v>
      </c>
      <c r="L83" s="1">
        <f>'[2]Electricity and CHPs'!H21</f>
        <v>0.21319255362123887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0</v>
      </c>
      <c r="L84" s="1">
        <f>'[2]Electricity and CHPs'!H22</f>
        <v>0.15851204065887395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0.23162489491415714</v>
      </c>
      <c r="K88" s="1">
        <f>'[2]Electricity and CHPs'!G39</f>
        <v>0.66889523659791428</v>
      </c>
      <c r="L88" s="1">
        <f>'[2]Electricity and CHPs'!H39</f>
        <v>0.4243744255266344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7.2497513464127295E-4</v>
      </c>
      <c r="L89" s="1">
        <f>'[2]Electricity and CHPs'!H40</f>
        <v>0.24536940947839206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1.1188010659374507E-4</v>
      </c>
      <c r="K90" s="1">
        <f>'[2]Electricity and CHPs'!G47</f>
        <v>3.4821270846194919E-4</v>
      </c>
      <c r="L90" s="1">
        <f>'[2]Electricity and CHPs'!H47</f>
        <v>2.24697637101287E-4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6.5887954539869363E-3</v>
      </c>
      <c r="K91" s="1">
        <f>'[2]Electricity and CHPs'!G48</f>
        <v>2.5259082386281002E-3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0.33849606615953398</v>
      </c>
      <c r="K93" s="1">
        <f>'[2]Electricity and CHPs'!G51</f>
        <v>0.15654782014945126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1.1059355565805749</v>
      </c>
      <c r="K95" s="1">
        <f>'[2]Electricity and CHPs'!G54</f>
        <v>1.1059355528743231</v>
      </c>
      <c r="L95" s="1">
        <f>'[2]Electricity and CHPs'!H54</f>
        <v>1.1059354747937413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0.19720178170943758</v>
      </c>
      <c r="K96" s="1">
        <f>'[2]Electricity and CHPs'!G55</f>
        <v>0.24005534025199879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0.73401792265672472</v>
      </c>
      <c r="K98" s="1">
        <f t="shared" si="88"/>
        <v>0.88312752768351777</v>
      </c>
      <c r="L98" s="1">
        <f t="shared" ref="L98" si="89">L82-L114</f>
        <v>0.24219553973166752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0</v>
      </c>
      <c r="L99" s="1">
        <f t="shared" ref="L99" si="91">L83-L115</f>
        <v>4.9568606750592381E-2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0</v>
      </c>
      <c r="L100" s="1">
        <f t="shared" ref="L100" si="93">L84-L116</f>
        <v>3.6855044302405091E-2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0.21965333369923296</v>
      </c>
      <c r="K104" s="1">
        <f t="shared" si="100"/>
        <v>0.55254062459127751</v>
      </c>
      <c r="L104" s="1">
        <f t="shared" ref="L104" si="101">L88-L120</f>
        <v>9.866971738286201E-2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5.9886540042537284E-4</v>
      </c>
      <c r="L105" s="1">
        <f t="shared" ref="L105" si="103">L89-L121</f>
        <v>5.7049927684940549E-2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1.0609756950801578E-4</v>
      </c>
      <c r="K106" s="1">
        <f t="shared" si="104"/>
        <v>2.8764095914745187E-4</v>
      </c>
      <c r="L106" s="1">
        <f t="shared" ref="L106" si="105">L90-L122</f>
        <v>5.2243610867614353E-5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6.2482527496318975E-3</v>
      </c>
      <c r="K107" s="1">
        <f t="shared" si="106"/>
        <v>2.0865254220232788E-3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0.32100085529913952</v>
      </c>
      <c r="K109" s="1">
        <f t="shared" si="110"/>
        <v>0.12931625999270943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0.18700938333921233</v>
      </c>
      <c r="K112" s="1">
        <f t="shared" si="116"/>
        <v>0.1982976113179345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1.1459410522675595</v>
      </c>
      <c r="K114" s="1">
        <f t="shared" si="120"/>
        <v>1.2919055182719013</v>
      </c>
      <c r="L114" s="1">
        <f t="shared" ref="L114" si="121">SUM(L115:L129)</f>
        <v>1.9054130619843144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0</v>
      </c>
      <c r="L115" s="1">
        <f>'[2]Electricity and CHPs_IN'!R$23/SUM('[2]Electricity and CHPs_IN'!R$22:R$23)*L83</f>
        <v>0.16362394687064649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0</v>
      </c>
      <c r="L116" s="1">
        <f>'[2]Electricity and CHPs_IN'!R$23/SUM('[2]Electricity and CHPs_IN'!R$22:R$23)*L84</f>
        <v>0.12165699635646886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1.197156121492419E-2</v>
      </c>
      <c r="K120" s="1">
        <f>'[2]Electricity and CHPs_IN'!Q$23/SUM('[2]Electricity and CHPs_IN'!Q$22:Q$23)*K88</f>
        <v>0.11635461200663681</v>
      </c>
      <c r="L120" s="1">
        <f>'[2]Electricity and CHPs_IN'!R$23/SUM('[2]Electricity and CHPs_IN'!R$22:R$23)*L88</f>
        <v>0.32570470814377239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1.2610973421590014E-4</v>
      </c>
      <c r="L121" s="1">
        <f>'[2]Electricity and CHPs_IN'!R$23/SUM('[2]Electricity and CHPs_IN'!R$22:R$23)*L89</f>
        <v>0.18831948179345151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5.7825370857292868E-6</v>
      </c>
      <c r="K122" s="1">
        <f>'[2]Electricity and CHPs_IN'!Q$23/SUM('[2]Electricity and CHPs_IN'!Q$22:Q$23)*K90</f>
        <v>6.0571749314497325E-5</v>
      </c>
      <c r="L122" s="1">
        <f>'[2]Electricity and CHPs_IN'!R$23/SUM('[2]Electricity and CHPs_IN'!R$22:R$23)*L90</f>
        <v>1.7245402623367265E-4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3.4054270435503919E-4</v>
      </c>
      <c r="K123" s="1">
        <f>'[2]Electricity and CHPs_IN'!Q$23/SUM('[2]Electricity and CHPs_IN'!Q$22:Q$23)*K91</f>
        <v>4.3938281660482146E-4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1.7495210860394468E-2</v>
      </c>
      <c r="K125" s="1">
        <f>'[2]Electricity and CHPs_IN'!Q$23/SUM('[2]Electricity and CHPs_IN'!Q$22:Q$23)*K93</f>
        <v>2.7231560156741833E-2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1.1059355565805749</v>
      </c>
      <c r="K127" s="1">
        <f t="shared" si="123"/>
        <v>1.1059355528743231</v>
      </c>
      <c r="L127" s="1">
        <f t="shared" ref="L127" si="124">L95</f>
        <v>1.1059354747937413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1.0192398370225248E-2</v>
      </c>
      <c r="K128" s="1">
        <f>'[2]Electricity and CHPs_IN'!Q$23/SUM('[2]Electricity and CHPs_IN'!Q$22:Q$23)*K96</f>
        <v>4.1757728934064292E-2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8.9266962263471239</v>
      </c>
      <c r="K130" s="1">
        <f t="shared" si="125"/>
        <v>9.1491684990600657</v>
      </c>
      <c r="L130" s="1">
        <f t="shared" ref="L130" si="126">SUM(L131:L136)</f>
        <v>10.361555257326666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7.4918602349670511</v>
      </c>
      <c r="K131" s="1">
        <f>'[2]Electricity and CHPs'!G19</f>
        <v>5.163254998501591</v>
      </c>
      <c r="L131" s="1">
        <f>'[2]Electricity and CHPs'!H19</f>
        <v>9.6431785060021886E-5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2.5470914032010827</v>
      </c>
      <c r="L132" s="1">
        <f>'[2]Electricity and CHPs'!H20</f>
        <v>8.5569469877835047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1.4346819054907569</v>
      </c>
      <c r="K133" s="1">
        <f>'[2]Electricity and CHPs'!G26</f>
        <v>1.0124474731500279</v>
      </c>
      <c r="L133" s="1">
        <f>'[2]Electricity and CHPs'!H26</f>
        <v>0.1422847569461872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0.42606207763196174</v>
      </c>
      <c r="L134" s="1">
        <f>'[2]Electricity and CHPs'!H27</f>
        <v>1.3704458758392501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1.5408588931629965E-4</v>
      </c>
      <c r="K135" s="1">
        <f>'[2]Electricity and CHPs'!G44</f>
        <v>2.4028668445066358E-4</v>
      </c>
      <c r="L135" s="1">
        <f>'[2]Electricity and CHPs'!H44</f>
        <v>1.1737589818070998E-5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7.2259890953056287E-5</v>
      </c>
      <c r="L136" s="1">
        <f>'[2]Electricity and CHPs'!H45</f>
        <v>0.29176946738284598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4.4632710702289042</v>
      </c>
      <c r="K137" s="1">
        <f t="shared" si="128"/>
        <v>4.5744279762423314</v>
      </c>
      <c r="L137" s="1">
        <f t="shared" ref="L137" si="129">SUM(L138:L141)</f>
        <v>5.0348870261770013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3.7459301174835256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2.5816274992507955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4.8215892530010943E-5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1.2735457016005414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4.2784734938917524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0.71734095274537835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0.50622373657501396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7.1142378473093598E-2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0.21303103881598087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0.68522293791962507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4.4634251561182205</v>
      </c>
      <c r="K144" s="1">
        <f t="shared" si="130"/>
        <v>4.574740522817736</v>
      </c>
      <c r="L144" s="1">
        <f t="shared" ref="L144" si="131">SUM(L145:L150)</f>
        <v>5.3266682311496654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3.7459301174835256</v>
      </c>
      <c r="K145" s="1">
        <f t="shared" si="132"/>
        <v>2.5816274992507955</v>
      </c>
      <c r="L145" s="1">
        <f t="shared" ref="L145" si="133">L131-L138</f>
        <v>4.8215892530010943E-5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1.2735457016005414</v>
      </c>
      <c r="L146" s="1">
        <f t="shared" ref="L146" si="135">L132-L139</f>
        <v>4.2784734938917524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0.71734095274537857</v>
      </c>
      <c r="K147" s="1">
        <f t="shared" si="136"/>
        <v>0.50622373657501396</v>
      </c>
      <c r="L147" s="1">
        <f t="shared" ref="L147" si="137">L133-L140</f>
        <v>7.1142378473093598E-2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0.21303103881598087</v>
      </c>
      <c r="L148" s="1">
        <f t="shared" ref="L148" si="139">L134-L141</f>
        <v>0.68522293791962507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1.5408588931629965E-4</v>
      </c>
      <c r="K149" s="1">
        <f t="shared" si="140"/>
        <v>2.4028668445066358E-4</v>
      </c>
      <c r="L149" s="1">
        <f t="shared" ref="L149" si="141">L135-L142</f>
        <v>1.1737589818070998E-5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7.2259890953056287E-5</v>
      </c>
      <c r="L150" s="1">
        <f t="shared" ref="L150" si="146">L136-L143</f>
        <v>0.29176946738284598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3.066517282854369</v>
      </c>
      <c r="K151" s="1">
        <f t="shared" si="147"/>
        <v>4.542242886436104</v>
      </c>
      <c r="L151" s="1">
        <f t="shared" ref="L151" si="148">SUM(L152:L158)</f>
        <v>5.8867228141569274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0.53255861027786888</v>
      </c>
      <c r="K152" s="1">
        <f>'[2]Electricity and CHPs'!G25</f>
        <v>0.93567394216603617</v>
      </c>
      <c r="L152" s="1">
        <f>'[2]Electricity and CHPs'!H25</f>
        <v>1.3488984752272071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8.1467950437073537E-5</v>
      </c>
      <c r="L153" s="1">
        <f>'[2]Electricity and CHPs'!H31</f>
        <v>5.1381461374829331E-4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2.5305601170220724</v>
      </c>
      <c r="K154" s="1">
        <f>'[2]Electricity and CHPs'!G42</f>
        <v>1.7709531550215949</v>
      </c>
      <c r="L154" s="1">
        <f>'[2]Electricity and CHPs'!H42</f>
        <v>1.4571663134794977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1.4757251439492574</v>
      </c>
      <c r="L155" s="1">
        <f>'[2]Electricity and CHPs'!H43</f>
        <v>2.8202051236026926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3.1605119803507345E-4</v>
      </c>
      <c r="K156" s="1">
        <f>'[2]Electricity and CHPs'!G50</f>
        <v>3.6359853628397933E-4</v>
      </c>
      <c r="L156" s="1">
        <f>'[2]Electricity and CHPs'!H50</f>
        <v>1.5202365150242166E-4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2.9693597631229003E-3</v>
      </c>
      <c r="K157" s="1">
        <f>'[2]Electricity and CHPs'!G53</f>
        <v>0.35927104876753729</v>
      </c>
      <c r="L157" s="1">
        <f>'[2]Electricity and CHPs'!H53</f>
        <v>0.25974438878907702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1.1314459326948921E-4</v>
      </c>
      <c r="K158" s="1">
        <f>'[2]Electricity and CHPs'!G56</f>
        <v>1.7453004495780923E-4</v>
      </c>
      <c r="L158" s="1">
        <f>'[2]Electricity and CHPs'!H56</f>
        <v>4.2674793203504241E-5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3.6358957293724981</v>
      </c>
      <c r="K159" s="1">
        <f t="shared" si="149"/>
        <v>7.1993345093761221</v>
      </c>
      <c r="L159" s="1">
        <f t="shared" si="149"/>
        <v>9.3572354223313248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3.6358957293724981</v>
      </c>
      <c r="K160" s="1">
        <f>'[2]Electricity and CHPs'!G33</f>
        <v>7.1993345093761221</v>
      </c>
      <c r="L160" s="1">
        <f>'[2]Electricity and CHPs'!H33</f>
        <v>9.3572354223313248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61.384087462815678</v>
      </c>
      <c r="K161" s="1">
        <f t="shared" si="150"/>
        <v>90.335097448336043</v>
      </c>
      <c r="L161" s="1">
        <f t="shared" ref="L161" si="151">SUM(L162:L166)</f>
        <v>120.10644979864459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1.3196983803416822</v>
      </c>
      <c r="K162" s="1">
        <f>'[2]Electricity and CHPs'!G34</f>
        <v>3.4225365206050307</v>
      </c>
      <c r="L162" s="1">
        <f>'[2]Electricity and CHPs'!H34</f>
        <v>18.178313356413419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27.72786324891058</v>
      </c>
      <c r="K163" s="1">
        <f>'[2]Electricity and CHPs'!G35</f>
        <v>40.847646985549105</v>
      </c>
      <c r="L163" s="1">
        <f>'[2]Electricity and CHPs'!H35</f>
        <v>50.935792746051874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11.801960342978287</v>
      </c>
      <c r="K164" s="1">
        <f>'[2]Electricity and CHPs'!G36</f>
        <v>12.452152782480272</v>
      </c>
      <c r="L164" s="1">
        <f>'[2]Electricity and CHPs'!H36</f>
        <v>13.862942911433937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1.7190229640527548</v>
      </c>
      <c r="K165" s="1">
        <f>'[2]Electricity and CHPs'!G37</f>
        <v>1.8073620598594649</v>
      </c>
      <c r="L165" s="1">
        <f>'[2]Electricity and CHPs'!H37</f>
        <v>1.9964528344576082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18.815542526532376</v>
      </c>
      <c r="K166" s="1">
        <f>'[2]Electricity and CHPs'!G38</f>
        <v>31.805399099842173</v>
      </c>
      <c r="L166" s="1">
        <f>'[2]Electricity and CHPs'!H38</f>
        <v>35.132947950287758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1.0845865364145085E-3</v>
      </c>
      <c r="L167" s="1">
        <f>'[2]Electricity and CHPs'!H32</f>
        <v>6.6367826326417871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1.0845865364145085E-3</v>
      </c>
      <c r="L168" s="1">
        <f t="shared" ref="L168" si="156">L167</f>
        <v>6.6367826326417871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2.6721626269657663E-3</v>
      </c>
      <c r="K169" s="1">
        <f t="shared" si="157"/>
        <v>0.11408576409217461</v>
      </c>
      <c r="L169" s="1">
        <f t="shared" ref="L169" si="158">SUM(L170:L172)</f>
        <v>2.4216483433246427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8.7281819188900087E-2</v>
      </c>
      <c r="L170" s="1">
        <f>'[2]Electricity and CHPs'!H30</f>
        <v>0.11156494629322866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2.1946919372248714E-3</v>
      </c>
      <c r="K171" s="1">
        <f>'[2]Electricity and CHPs'!G46</f>
        <v>7.4105426878997181E-3</v>
      </c>
      <c r="L171" s="1">
        <f>'[2]Electricity and CHPs'!H46</f>
        <v>2.2815363863823208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4.7747068974089479E-4</v>
      </c>
      <c r="K172" s="1">
        <f>'[2]Electricity and CHPs'!G57</f>
        <v>1.9393402215374809E-2</v>
      </c>
      <c r="L172" s="1">
        <f>'[2]Electricity and CHPs'!H57</f>
        <v>2.8547010649093287E-2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1.4146221925196081</v>
      </c>
      <c r="K173" s="1">
        <f t="shared" si="160"/>
        <v>1.4382641981034152</v>
      </c>
      <c r="L173" s="1">
        <f t="shared" ref="L173" si="161">SUM(L174:L180)</f>
        <v>6.2594091072358236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2.4239063756170829E-2</v>
      </c>
      <c r="K174" s="1">
        <f>'[2]Electricity and CHPs'!G70</f>
        <v>1.8415072179841924E-2</v>
      </c>
      <c r="L174" s="1">
        <f>'[2]Electricity and CHPs'!H70</f>
        <v>9.4499476245348726E-2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6.1394046033543162E-2</v>
      </c>
      <c r="K175" s="1">
        <f>'[2]Electricity and CHPs'!G71</f>
        <v>0.14285139894715804</v>
      </c>
      <c r="L175" s="1">
        <f>'[2]Electricity and CHPs'!H71</f>
        <v>3.1773594770964628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5.5031985270286715E-2</v>
      </c>
      <c r="K176" s="1">
        <f>'[2]Electricity and CHPs'!G72</f>
        <v>7.0190147423994195E-2</v>
      </c>
      <c r="L176" s="1">
        <f>'[2]Electricity and CHPs'!H72</f>
        <v>0.64859767056440187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0.30074801598554451</v>
      </c>
      <c r="K177" s="1">
        <f>'[2]Electricity and CHPs'!G73</f>
        <v>0.26020667275191089</v>
      </c>
      <c r="L177" s="1">
        <f>'[2]Electricity and CHPs'!H73</f>
        <v>0.82890686558452786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0.52040027914196441</v>
      </c>
      <c r="K178" s="1">
        <f>'[2]Electricity and CHPs'!G74</f>
        <v>0.36603149409976221</v>
      </c>
      <c r="L178" s="1">
        <f>'[2]Electricity and CHPs'!H74</f>
        <v>0.67131096667696544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3.2291448251182055E-2</v>
      </c>
      <c r="K179" s="1">
        <f>'[2]Electricity and CHPs'!G75</f>
        <v>2.1362677152106664E-2</v>
      </c>
      <c r="L179" s="1">
        <f>'[2]Electricity and CHPs'!H75</f>
        <v>3.725547596966311E-2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0.42051735408091639</v>
      </c>
      <c r="K180" s="1">
        <f>'[2]Electricity and CHPs'!G76</f>
        <v>0.5592067355486412</v>
      </c>
      <c r="L180" s="1">
        <f>'[2]Electricity and CHPs'!H76</f>
        <v>0.80147917509845423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38.066401660197137</v>
      </c>
      <c r="K181" s="3">
        <f t="shared" si="162"/>
        <v>39.759515890304968</v>
      </c>
      <c r="L181" s="3">
        <f t="shared" ref="L181" si="163">SUM(L182,L233)</f>
        <v>44.509546214354486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29.324465217431232</v>
      </c>
      <c r="K182" s="1">
        <f t="shared" si="164"/>
        <v>29.47050263313427</v>
      </c>
      <c r="L182" s="1">
        <f t="shared" ref="L182" si="165">L183+L210</f>
        <v>30.876938369348451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13.735829937025414</v>
      </c>
      <c r="K183" s="1">
        <f t="shared" si="166"/>
        <v>15.388637748578322</v>
      </c>
      <c r="L183" s="1">
        <f t="shared" ref="L183" si="167">SUM(L185,L189,L190,L198,L199,L207,L209)</f>
        <v>15.810636705626507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1.3596371989876003E-4</v>
      </c>
      <c r="K184" s="1">
        <f t="shared" si="168"/>
        <v>0.73447723757873995</v>
      </c>
      <c r="L184" s="1">
        <f t="shared" si="168"/>
        <v>0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1.3596371989876003E-4</v>
      </c>
      <c r="K185" s="1">
        <f>'[2]Electricity and CHPs'!G$94</f>
        <v>0.73447723757873995</v>
      </c>
      <c r="L185" s="1">
        <f>'[2]Electricity and CHPs'!H$94</f>
        <v>0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1.3596371989876003E-4</v>
      </c>
      <c r="K186" s="1">
        <f t="shared" si="169"/>
        <v>0.73447723757873995</v>
      </c>
      <c r="L186" s="1">
        <f t="shared" ref="L186" si="170">L185-L187</f>
        <v>0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12.34294637785387</v>
      </c>
      <c r="K197" s="1">
        <f t="shared" si="186"/>
        <v>12.101205582682555</v>
      </c>
      <c r="L197" s="1">
        <f t="shared" ref="L197" si="187">SUM(L198:L199)</f>
        <v>12.142227035687494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12.34294637785387</v>
      </c>
      <c r="K198" s="1">
        <f>'[2]Electricity and CHPs'!G$93-K199</f>
        <v>8.1036058927034542</v>
      </c>
      <c r="L198" s="1">
        <f>'[2]Electricity and CHPs'!H$93-L199</f>
        <v>7.6575751739582643E-5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3.9975996899791006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12.142150459935754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6.1714731889269334</v>
      </c>
      <c r="K200" s="1">
        <f t="shared" si="188"/>
        <v>6.0506027913412774</v>
      </c>
      <c r="L200" s="1">
        <f t="shared" ref="L200" si="189">SUM(L201:L202)</f>
        <v>6.071113517843747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6.1714731889269334</v>
      </c>
      <c r="K201" s="1">
        <f t="shared" si="190"/>
        <v>4.0518029463517271</v>
      </c>
      <c r="L201" s="1">
        <f t="shared" ref="L201" si="191">L198*L140/L133</f>
        <v>3.8287875869791321E-5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1.9987998449895503</v>
      </c>
      <c r="L202" s="1">
        <f t="shared" ref="L202" si="193">L199*IFERROR(L141/L134,0)</f>
        <v>6.0710752299678772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6.171473188926937</v>
      </c>
      <c r="K203" s="1">
        <f t="shared" si="194"/>
        <v>6.0506027913412774</v>
      </c>
      <c r="L203" s="1">
        <f t="shared" ref="L203" si="195">SUM(L204:L205)</f>
        <v>6.071113517843747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6.171473188926937</v>
      </c>
      <c r="K204" s="1">
        <f t="shared" si="196"/>
        <v>4.0518029463517271</v>
      </c>
      <c r="L204" s="1">
        <f t="shared" ref="L204" si="197">L198-L201</f>
        <v>3.8287875869791321E-5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1.9987998449895503</v>
      </c>
      <c r="L205" s="1">
        <f t="shared" ref="L205" si="198">L199-L202</f>
        <v>6.0710752299678772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1.3927475954516451</v>
      </c>
      <c r="K206" s="1">
        <f t="shared" si="199"/>
        <v>2.4469698621590767</v>
      </c>
      <c r="L206" s="1">
        <f t="shared" si="199"/>
        <v>3.5276253329499383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1.3927475954516451</v>
      </c>
      <c r="K207" s="1">
        <f>'[2]Electricity and CHPs'!G$92</f>
        <v>2.4469698621590767</v>
      </c>
      <c r="L207" s="1">
        <f>'[2]Electricity and CHPs'!H$92</f>
        <v>3.5276253329499383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0.10598506615794971</v>
      </c>
      <c r="L208" s="1">
        <f t="shared" si="200"/>
        <v>0.14078433698907403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0.10598506615794971</v>
      </c>
      <c r="L209" s="1">
        <f>'[2]Electricity and CHPs'!H$96</f>
        <v>0.14078433698907403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15.588635280405818</v>
      </c>
      <c r="K210" s="1">
        <f t="shared" si="201"/>
        <v>14.081864884555948</v>
      </c>
      <c r="L210" s="1">
        <f t="shared" ref="L210" si="202">SUM(L211,L217,L219,L225,L227,L229,L231)</f>
        <v>15.066301663721944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0.9017740275936329</v>
      </c>
      <c r="K211" s="1">
        <f t="shared" si="203"/>
        <v>0.90177424201188949</v>
      </c>
      <c r="L211" s="1">
        <f t="shared" si="203"/>
        <v>0.90177447913018138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0.9017740275936329</v>
      </c>
      <c r="K212" s="1">
        <f>'[2]Electricity and CHPs'!G$97+K216</f>
        <v>0.90177424201188949</v>
      </c>
      <c r="L212" s="1">
        <f>'[2]Electricity and CHPs'!H$97+L216</f>
        <v>0.90177447913018138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0.9017740275936329</v>
      </c>
      <c r="K215" s="1">
        <f t="shared" si="207"/>
        <v>0.90177424201188949</v>
      </c>
      <c r="L215" s="1">
        <f t="shared" si="207"/>
        <v>0.90177447913018138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0.9017740275936329</v>
      </c>
      <c r="K216" s="1">
        <f>'[2]Electricity and CHPs'!G$98</f>
        <v>0.90177424201188949</v>
      </c>
      <c r="L216" s="1">
        <f>'[2]Electricity and CHPs'!H$98</f>
        <v>0.90177447913018138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1.3003418725283291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1.3003418725283291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0.14280373294670107</v>
      </c>
      <c r="K219" s="1">
        <f t="shared" si="209"/>
        <v>1.5286968549232342E-5</v>
      </c>
      <c r="L219" s="1">
        <f t="shared" si="209"/>
        <v>0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0.14280373294670107</v>
      </c>
      <c r="K220" s="1">
        <f>'[2]Electricity and CHPs'!G$100</f>
        <v>1.5286968549232342E-5</v>
      </c>
      <c r="L220" s="1">
        <f>'[2]Electricity and CHPs'!H$100</f>
        <v>0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0.14280373294670107</v>
      </c>
      <c r="K221" s="1">
        <f t="shared" si="210"/>
        <v>1.5286968549232342E-5</v>
      </c>
      <c r="L221" s="1">
        <f t="shared" si="210"/>
        <v>0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0.14280373294670107</v>
      </c>
      <c r="K222" s="1">
        <f t="shared" si="211"/>
        <v>1.5286968549232342E-5</v>
      </c>
      <c r="L222" s="1">
        <f t="shared" ref="L222" si="212">L220-L224</f>
        <v>0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2.6664450282257484</v>
      </c>
      <c r="K225" s="1">
        <f t="shared" si="214"/>
        <v>2.0632451702336128</v>
      </c>
      <c r="L225" s="1">
        <f t="shared" si="214"/>
        <v>1.8846319808946879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2.6664450282257484</v>
      </c>
      <c r="K226" s="1">
        <f>'[2]Electricity and CHPs'!G$101</f>
        <v>2.0632451702336128</v>
      </c>
      <c r="L226" s="1">
        <f>'[2]Electricity and CHPs'!H$101</f>
        <v>1.8846319808946879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5.1590359420725715E-6</v>
      </c>
      <c r="K227" s="1">
        <f t="shared" si="215"/>
        <v>5.206478782649534E-6</v>
      </c>
      <c r="L227" s="1">
        <f t="shared" si="215"/>
        <v>5.2012181564254829E-6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5.1590359420725715E-6</v>
      </c>
      <c r="K228" s="1">
        <f>'[2]Electricity and CHPs'!G$102</f>
        <v>5.206478782649534E-6</v>
      </c>
      <c r="L228" s="1">
        <f>'[2]Electricity and CHPs'!H$102</f>
        <v>5.2012181564254829E-6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1.2575918091539578E-5</v>
      </c>
      <c r="L229" s="1">
        <f t="shared" si="216"/>
        <v>1.2916485629718005E-5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1.2575918091539578E-5</v>
      </c>
      <c r="L230" s="1">
        <f>'[2]Electricity and CHPs'!H$90</f>
        <v>1.2916485629718005E-5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10.577265460075463</v>
      </c>
      <c r="K231" s="1">
        <f t="shared" si="217"/>
        <v>11.116812402945023</v>
      </c>
      <c r="L231" s="1">
        <f t="shared" si="217"/>
        <v>12.279877085993288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10.577265460075463</v>
      </c>
      <c r="K232" s="1">
        <f>'[2]Electricity and CHPs'!G$123</f>
        <v>11.116812402945023</v>
      </c>
      <c r="L232" s="1">
        <f>'[2]Electricity and CHPs'!H$123</f>
        <v>12.279877085993288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8.7419364427659048</v>
      </c>
      <c r="K233" s="1">
        <f t="shared" si="218"/>
        <v>10.2890132571707</v>
      </c>
      <c r="L233" s="1">
        <f t="shared" ref="L233" si="219">SUM(L234,L240,L273,L282,L288)</f>
        <v>13.632607845006032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0.84999848398276812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0.84999848398276812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0.84999848398276812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0.84999848398276812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2.52720076044554</v>
      </c>
      <c r="K240" s="1">
        <f t="shared" si="227"/>
        <v>2.4458955954482442</v>
      </c>
      <c r="L240" s="1">
        <f t="shared" ref="L240" si="228">SUM(L241:L250)</f>
        <v>1.7462383449070016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0.37696752282978785</v>
      </c>
      <c r="K241" s="1">
        <f>'[2]Electricity and CHPs'!G$103-K242</f>
        <v>0.75759616097671922</v>
      </c>
      <c r="L241" s="1">
        <f>'[2]Electricity and CHPs'!H$103-L242</f>
        <v>0.46904541768733438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8.2111270757630759E-4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0.27119776837085491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5.3117390057122099E-5</v>
      </c>
      <c r="K243" s="1">
        <f>'[2]Electricity and CHPs'!G$107</f>
        <v>1.5653598820766524E-4</v>
      </c>
      <c r="L243" s="1">
        <f>'[2]Electricity and CHPs'!H$107</f>
        <v>9.0667467602273814E-5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1.4927997720311283E-2</v>
      </c>
      <c r="K244" s="1">
        <f>'[2]Electricity and CHPs'!G$109</f>
        <v>5.6722149920069602E-3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0.69104989244372683</v>
      </c>
      <c r="K246" s="1">
        <f>'[2]Electricity and CHPs'!G$112</f>
        <v>0.31566199800627065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1.164906685703156</v>
      </c>
      <c r="K248" s="1">
        <f>'[2]Electricity and CHPs'!G$115</f>
        <v>1.0059045623994656</v>
      </c>
      <c r="L248" s="1">
        <f>'[2]Electricity and CHPs'!H$115</f>
        <v>1.0059044913812101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0.27929554435850062</v>
      </c>
      <c r="K249" s="1">
        <f>'[2]Electricity and CHPs'!G$116</f>
        <v>0.36008301037799811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1.2918837377423338</v>
      </c>
      <c r="K251" s="1">
        <f t="shared" si="229"/>
        <v>1.1895039780121706</v>
      </c>
      <c r="L251" s="1">
        <f t="shared" ref="L251" si="230">SUM(L252:L261)</f>
        <v>0.17213226740914989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0.35748390999418284</v>
      </c>
      <c r="K252" s="1">
        <f t="shared" si="231"/>
        <v>0.62581198530145987</v>
      </c>
      <c r="L252" s="1">
        <f t="shared" ref="L252" si="232">L241-L263</f>
        <v>0.10905600342316363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6.7827980150017802E-4</v>
      </c>
      <c r="L253" s="1">
        <f t="shared" ref="L253" si="233">L242-L264</f>
        <v>6.3055183230723899E-2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5.0372011211374478E-5</v>
      </c>
      <c r="K254" s="1">
        <f t="shared" si="231"/>
        <v>1.29306486222249E-4</v>
      </c>
      <c r="L254" s="1">
        <f t="shared" ref="L254" si="234">L243-L265</f>
        <v>2.1080755262370732E-5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1.4156442319968035E-2</v>
      </c>
      <c r="K255" s="1">
        <f t="shared" si="235"/>
        <v>4.6855307722628E-3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0.65533289365988323</v>
      </c>
      <c r="K257" s="1">
        <f t="shared" si="239"/>
        <v>0.26075245867382402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0.26486011975708834</v>
      </c>
      <c r="K260" s="1">
        <f t="shared" si="245"/>
        <v>0.29744641697690166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1.235317022703206</v>
      </c>
      <c r="K262" s="1">
        <f t="shared" si="249"/>
        <v>1.2563916174360739</v>
      </c>
      <c r="L262" s="1">
        <f t="shared" ref="L262" si="250">SUM(L263:L272)</f>
        <v>1.5741060774978517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1.9483612835605027E-2</v>
      </c>
      <c r="K263" s="1">
        <f t="shared" si="251"/>
        <v>0.13178417567525941</v>
      </c>
      <c r="L263" s="1">
        <f t="shared" ref="L263" si="252">L241*IFERROR(L120/L88,0)</f>
        <v>0.35998941426417075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1.4283290607612951E-4</v>
      </c>
      <c r="L264" s="1">
        <f t="shared" ref="L264" si="253">L242*IFERROR(L121/L89,0)</f>
        <v>0.20814258514013101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2.7453788457476212E-6</v>
      </c>
      <c r="K265" s="1">
        <f t="shared" si="251"/>
        <v>2.722950198541623E-5</v>
      </c>
      <c r="L265" s="1">
        <f t="shared" ref="L265" si="254">L243*IFERROR(L122/L90,0)</f>
        <v>6.9586712339903082E-5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7.7155540034324818E-4</v>
      </c>
      <c r="K266" s="1">
        <f t="shared" si="251"/>
        <v>9.8668421974416019E-4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3.5716998783843601E-2</v>
      </c>
      <c r="K268" s="1">
        <f t="shared" si="251"/>
        <v>5.4909539332446654E-2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1.164906685703156</v>
      </c>
      <c r="K270" s="1">
        <f t="shared" si="251"/>
        <v>1.0059045623994656</v>
      </c>
      <c r="L270" s="1">
        <f t="shared" ref="L270" si="259">L248*IFERROR(L127/L95,0)</f>
        <v>1.0059044913812101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1.4435424601412309E-2</v>
      </c>
      <c r="K271" s="1">
        <f t="shared" si="251"/>
        <v>6.2636593401096424E-2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9.0932782202831795E-4</v>
      </c>
      <c r="K273" s="1">
        <f t="shared" si="262"/>
        <v>1.5830605727376094E-3</v>
      </c>
      <c r="L273" s="1">
        <f t="shared" ref="L273" si="263">SUM(L274:L275)</f>
        <v>0.98979402545517614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9.0932782202831795E-4</v>
      </c>
      <c r="K274" s="1">
        <f>'[2]Electricity and CHPs'!G$106-K275</f>
        <v>1.2170614117794662E-3</v>
      </c>
      <c r="L274" s="1">
        <f>'[2]Electricity and CHPs'!H$106-L275</f>
        <v>3.9839216662840293E-5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3.6599916095814313E-4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0.9897541862385133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9.0932782202831795E-4</v>
      </c>
      <c r="K279" s="1">
        <f t="shared" si="266"/>
        <v>1.5830605727376094E-3</v>
      </c>
      <c r="L279" s="1">
        <f t="shared" ref="L279" si="267">SUM(L280:L281)</f>
        <v>0.98979402545517614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9.0932782202831795E-4</v>
      </c>
      <c r="K280" s="1">
        <f t="shared" si="268"/>
        <v>1.2170614117794662E-3</v>
      </c>
      <c r="L280" s="1">
        <f t="shared" ref="L280" si="269">L274</f>
        <v>3.9839216662840293E-5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3.6599916095814313E-4</v>
      </c>
      <c r="L281" s="1">
        <f t="shared" ref="L281" si="271">L275</f>
        <v>0.9897541862385133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5.3620192299272889</v>
      </c>
      <c r="K282" s="1">
        <f t="shared" si="272"/>
        <v>7.8248776148828529</v>
      </c>
      <c r="L282" s="1">
        <f t="shared" ref="L282" si="273">SUM(L283:L287)</f>
        <v>9.7396720145640749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5.3531079398543993</v>
      </c>
      <c r="K283" s="1">
        <f>'[2]Electricity and CHPs'!G$105-K284</f>
        <v>3.7462470586995313</v>
      </c>
      <c r="L283" s="1">
        <f>'[2]Electricity and CHPs'!H$105-L284</f>
        <v>3.0824672312213206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3.1217262660465148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5.965818530698014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8.3557351123164235E-4</v>
      </c>
      <c r="K285" s="1">
        <f>'[2]Electricity and CHPs'!G$110</f>
        <v>9.4099862326207082E-4</v>
      </c>
      <c r="L285" s="1">
        <f>'[2]Electricity and CHPs'!H$110</f>
        <v>3.7786820453637585E-4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7.8987895176668363E-3</v>
      </c>
      <c r="K286" s="1">
        <f>'[2]Electricity and CHPs'!G$113</f>
        <v>0.95569638588409045</v>
      </c>
      <c r="L286" s="1">
        <f>'[2]Electricity and CHPs'!H$113</f>
        <v>0.69094571240708125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1.7692704399055451E-4</v>
      </c>
      <c r="K287" s="1">
        <f>'[2]Electricity and CHPs'!G$117</f>
        <v>2.6690562945421695E-4</v>
      </c>
      <c r="L287" s="1">
        <f>'[2]Electricity and CHPs'!H$117</f>
        <v>6.2672033122141395E-5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1.8086405882791457E-3</v>
      </c>
      <c r="K288" s="1">
        <f t="shared" si="274"/>
        <v>1.6656986266864713E-2</v>
      </c>
      <c r="L288" s="1">
        <f t="shared" ref="L288" si="275">SUM(L289:L290)</f>
        <v>1.1569034600797785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1.4786459819484744E-3</v>
      </c>
      <c r="K289" s="1">
        <f>'[2]Electricity and CHPs'!G$108</f>
        <v>4.4463256127398243E-3</v>
      </c>
      <c r="L289" s="1">
        <f>'[2]Electricity and CHPs'!H$108</f>
        <v>1.1407681931911606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3.2999460633067123E-4</v>
      </c>
      <c r="K290" s="1">
        <f>'[2]Electricity and CHPs'!G$119</f>
        <v>1.221066065412489E-2</v>
      </c>
      <c r="L290" s="1">
        <f>'[2]Electricity and CHPs'!H$119</f>
        <v>1.6135266888617952E-2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 t="shared" ref="I291" si="278">SUM(I292,I294,I302,I310,I358,I379,I387,I389,I397,I401,I395)</f>
        <v>445.98858099281875</v>
      </c>
      <c r="J291" s="3">
        <f t="shared" ref="J291" si="279">SUM(J292,J294,J302,J310,J358,J379,J387,J389,J397,J401,J395)</f>
        <v>416.09489212390417</v>
      </c>
      <c r="K291" s="3">
        <f t="shared" ref="K291:L291" si="280">SUM(K292,K294,K302,K310,K358,K379,K387,K389,K397,K401,K395)</f>
        <v>383.82149791383819</v>
      </c>
      <c r="L291" s="3">
        <f t="shared" si="280"/>
        <v>341.45929208659498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1">G293</f>
        <v>253.2998850662751</v>
      </c>
      <c r="H292" s="1">
        <f t="shared" si="281"/>
        <v>232.95381994855762</v>
      </c>
      <c r="I292" s="1">
        <f t="shared" si="281"/>
        <v>210.99019673418002</v>
      </c>
      <c r="J292" s="1">
        <f t="shared" si="281"/>
        <v>167.60363837156819</v>
      </c>
      <c r="K292" s="1">
        <f t="shared" si="281"/>
        <v>98.945498934149086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167.60363837156819</v>
      </c>
      <c r="K293" s="1">
        <f>'[2]Electricity and CHPs_IN'!G$14</f>
        <v>98.945498934149086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149.43048395881004</v>
      </c>
      <c r="G294" s="1">
        <f t="shared" ref="G294:K294" si="283">SUM(G295:G297)</f>
        <v>125.60698324405315</v>
      </c>
      <c r="H294" s="1">
        <f t="shared" si="283"/>
        <v>137.14139880288545</v>
      </c>
      <c r="I294" s="1">
        <f t="shared" si="283"/>
        <v>151.25678959878701</v>
      </c>
      <c r="J294" s="1">
        <f t="shared" si="283"/>
        <v>151.42700278896996</v>
      </c>
      <c r="K294" s="1">
        <f t="shared" si="283"/>
        <v>151.85898002482512</v>
      </c>
      <c r="L294" s="1">
        <f t="shared" ref="L294" si="284">SUM(L295:L297)</f>
        <v>152.30386097998445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71.92488130314247</v>
      </c>
      <c r="K295" s="1">
        <f>'[2]Electricity and CHPs_IN'!G$15</f>
        <v>72.955947959382129</v>
      </c>
      <c r="L295" s="1">
        <f>'[2]Electricity and CHPs_IN'!H$15</f>
        <v>74.836042114965252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63.393434092366533</v>
      </c>
      <c r="K296" s="1">
        <f>'[2]Electricity and CHPs_IN'!G$16</f>
        <v>62.362367651452743</v>
      </c>
      <c r="L296" s="1">
        <f>'[2]Electricity and CHPs_IN'!H$16</f>
        <v>60.482273607774367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16.108687393460961</v>
      </c>
      <c r="K297" s="1">
        <f>'[2]Electricity and CHPs_IN'!G$13</f>
        <v>16.540664413990235</v>
      </c>
      <c r="L297" s="1">
        <f>'[2]Electricity and CHPs_IN'!H$13</f>
        <v>16.98554525724483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0.15078327648927173</v>
      </c>
      <c r="G298" s="1">
        <f t="shared" ref="G298:K298" si="285">SUM(G299:G301)</f>
        <v>5.4810418737692393E-2</v>
      </c>
      <c r="H298" s="1">
        <f t="shared" si="285"/>
        <v>6.2099059537261005E-2</v>
      </c>
      <c r="I298" s="1">
        <f t="shared" si="285"/>
        <v>7.8412874283016118E-2</v>
      </c>
      <c r="J298" s="1">
        <f t="shared" si="285"/>
        <v>0.10953310567845895</v>
      </c>
      <c r="K298" s="1">
        <f t="shared" si="285"/>
        <v>0.28783164795909144</v>
      </c>
      <c r="L298" s="1">
        <f t="shared" ref="L298" si="286">SUM(L299:L301)</f>
        <v>0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2.0535811447209768E-4</v>
      </c>
      <c r="K299" s="1">
        <f>'[2]Electricity and CHPs_IN'!G$18</f>
        <v>8.7878566652436485E-2</v>
      </c>
      <c r="L299" s="1">
        <f>'[2]Electricity and CHPs_IN'!H$18</f>
        <v>0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4.1888513859897839E-5</v>
      </c>
      <c r="K300" s="1">
        <f>IFERROR(K72/SUM(K72,K185),0)*'[2]Electricity and CHPs_IN'!G$28</f>
        <v>0.19995308130665496</v>
      </c>
      <c r="L300" s="1">
        <f>IFERROR(L72/SUM(L72,L185),0)*'[2]Electricity and CHPs_IN'!H$28</f>
        <v>0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0.10928585905012696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0.15078327648927173</v>
      </c>
      <c r="G302" s="1">
        <f t="shared" ref="G302:K302" si="287">G298</f>
        <v>5.4810418737692393E-2</v>
      </c>
      <c r="H302" s="1">
        <f t="shared" si="287"/>
        <v>6.2099059537261005E-2</v>
      </c>
      <c r="I302" s="1">
        <f t="shared" si="287"/>
        <v>7.8412874283016118E-2</v>
      </c>
      <c r="J302" s="1">
        <f t="shared" si="287"/>
        <v>0.10953310567845895</v>
      </c>
      <c r="K302" s="1">
        <f t="shared" si="287"/>
        <v>0.28783164795909144</v>
      </c>
      <c r="L302" s="1">
        <f t="shared" ref="L302" si="288">L298</f>
        <v>0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0.12564086842017971</v>
      </c>
      <c r="G303" s="1">
        <f t="shared" si="289"/>
        <v>1.4020265991828238E-3</v>
      </c>
      <c r="H303" s="1">
        <f t="shared" si="289"/>
        <v>1.241361486941066E-2</v>
      </c>
      <c r="I303" s="1">
        <f t="shared" si="289"/>
        <v>2.7090183728370261E-3</v>
      </c>
      <c r="J303" s="1">
        <f t="shared" si="289"/>
        <v>2.0535811447209768E-4</v>
      </c>
      <c r="K303" s="1">
        <f t="shared" si="289"/>
        <v>8.7878566652436485E-2</v>
      </c>
      <c r="L303" s="1">
        <f t="shared" ref="L303" si="290">L299</f>
        <v>0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3.9125952708611977E-3</v>
      </c>
      <c r="G304" s="1">
        <f t="shared" si="291"/>
        <v>3.3395188305036745E-4</v>
      </c>
      <c r="H304" s="1">
        <f t="shared" si="291"/>
        <v>1.2172748144924262E-3</v>
      </c>
      <c r="I304" s="1">
        <f t="shared" si="291"/>
        <v>1.5240559376263991E-3</v>
      </c>
      <c r="J304" s="1">
        <f t="shared" si="291"/>
        <v>4.1888513859897839E-5</v>
      </c>
      <c r="K304" s="1">
        <f t="shared" si="291"/>
        <v>0.19995308130665496</v>
      </c>
      <c r="L304" s="1">
        <f t="shared" ref="L304" si="292">L300</f>
        <v>0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2.1229812798230833E-2</v>
      </c>
      <c r="G305" s="1">
        <f t="shared" si="293"/>
        <v>5.3074440255459203E-2</v>
      </c>
      <c r="H305" s="1">
        <f t="shared" si="293"/>
        <v>4.8468169853357917E-2</v>
      </c>
      <c r="I305" s="1">
        <f t="shared" si="293"/>
        <v>7.4179799972552696E-2</v>
      </c>
      <c r="J305" s="1">
        <f t="shared" si="293"/>
        <v>0.10928585905012696</v>
      </c>
      <c r="K305" s="1">
        <f t="shared" si="293"/>
        <v>0</v>
      </c>
      <c r="L305" s="1">
        <f t="shared" ref="L305" si="294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4.0783641509408959</v>
      </c>
      <c r="G310" s="1">
        <f t="shared" ref="G310:K310" si="295">SUM(G311:G325)</f>
        <v>2.2105065786506479</v>
      </c>
      <c r="H310" s="1">
        <f t="shared" si="295"/>
        <v>2.1691640241275727</v>
      </c>
      <c r="I310" s="1">
        <f t="shared" si="295"/>
        <v>2.2727556167666498</v>
      </c>
      <c r="J310" s="1">
        <f t="shared" si="295"/>
        <v>2.3054260787542784</v>
      </c>
      <c r="K310" s="1">
        <f t="shared" si="295"/>
        <v>2.8624062565004631</v>
      </c>
      <c r="L310" s="1">
        <f t="shared" ref="L310" si="296">SUM(L311:L325)</f>
        <v>3.5053309927614373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0</v>
      </c>
      <c r="L311" s="1">
        <f>'[2]Electricity and CHPs_IN'!H$21</f>
        <v>0.34170928630465758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0</v>
      </c>
      <c r="L312" s="1">
        <f>'[2]Electricity and CHPs_IN'!H$22</f>
        <v>0.37779121513218072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0.24580109175572074</v>
      </c>
      <c r="K316" s="1">
        <f>K88/SUM(K88,K241)*'[2]Electricity and CHPs_IN'!G$39</f>
        <v>0.87626915915534032</v>
      </c>
      <c r="L316" s="1">
        <f>L88/SUM(L88,L241)*'[2]Electricity and CHPs_IN'!H$39</f>
        <v>0.92169312233629286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1.0879803105901681E-3</v>
      </c>
      <c r="L317" s="1">
        <f>IFERROR(L89/SUM(L89,L242),0)*'[2]Electricity and CHPs_IN'!H$40</f>
        <v>0.36053167951889931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J91/SUM(J91,J244)*'[2]Electricity and CHPs_IN'!F$48</f>
        <v>7.3163970826250887E-3</v>
      </c>
      <c r="K319" s="1">
        <f>K91/SUM(K91,K244)*'[2]Electricity and CHPs_IN'!G$48</f>
        <v>2.8165410920112511E-3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0.36904616722959516</v>
      </c>
      <c r="K321" s="1">
        <f>IFERROR(K93/SUM(K93,K246),0)*'[2]Electricity and CHPs_IN'!G$51</f>
        <v>0.17090705484080598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1.4562456653368097</v>
      </c>
      <c r="K323" s="1">
        <f>IFERROR(K95/SUM(K95,K248),0)*'[2]Electricity and CHPs_IN'!G$54</f>
        <v>1.5445627426570805</v>
      </c>
      <c r="L323" s="1">
        <f>IFERROR(L95/SUM(L95,L248),0)*'[2]Electricity and CHPs_IN'!H$54</f>
        <v>1.5036056894694065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0.227016757349528</v>
      </c>
      <c r="K324" s="1">
        <f>IFERROR(K96/SUM(K96,K249),0)*'[2]Electricity and CHPs_IN'!G$55</f>
        <v>0.26676277844463497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2.9357359532074669</v>
      </c>
      <c r="G326" s="1">
        <f t="shared" ref="G326:K326" si="297">G310-G342</f>
        <v>0.91671981881612052</v>
      </c>
      <c r="H326" s="1">
        <f t="shared" si="297"/>
        <v>0.8216623432978134</v>
      </c>
      <c r="I326" s="1">
        <f t="shared" si="297"/>
        <v>0.8082179282934332</v>
      </c>
      <c r="J326" s="1">
        <f t="shared" si="297"/>
        <v>0.80529041918559008</v>
      </c>
      <c r="K326" s="1">
        <f t="shared" si="297"/>
        <v>1.0886040719262866</v>
      </c>
      <c r="L326" s="1">
        <f t="shared" ref="L326" si="298">L310-L342</f>
        <v>0.46541369619256789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0</v>
      </c>
      <c r="L327" s="1">
        <f t="shared" ref="L327" si="300">IFERROR(L99/L83,0)*L311</f>
        <v>7.9449553692919117E-2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0</v>
      </c>
      <c r="J328" s="1">
        <f t="shared" si="301"/>
        <v>0</v>
      </c>
      <c r="K328" s="1">
        <f t="shared" si="301"/>
        <v>0</v>
      </c>
      <c r="L328" s="1">
        <f t="shared" ref="L328" si="302">IFERROR(L100/L84,0)*L312</f>
        <v>8.7838828601797425E-2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1.2520242639936099</v>
      </c>
      <c r="G330" s="1">
        <f t="shared" si="305"/>
        <v>4.2652375935381039E-3</v>
      </c>
      <c r="H330" s="1">
        <f t="shared" si="305"/>
        <v>5.3915595847113407E-3</v>
      </c>
      <c r="I330" s="1">
        <f t="shared" si="305"/>
        <v>0</v>
      </c>
      <c r="J330" s="1">
        <f t="shared" si="305"/>
        <v>0</v>
      </c>
      <c r="K330" s="1">
        <f t="shared" si="305"/>
        <v>0</v>
      </c>
      <c r="L330" s="1">
        <f t="shared" ref="L330" si="306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0</v>
      </c>
      <c r="L331" s="1">
        <f t="shared" ref="L331" si="308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0.87019557685134874</v>
      </c>
      <c r="G332" s="1">
        <f t="shared" si="309"/>
        <v>0.11622130898701774</v>
      </c>
      <c r="H332" s="1">
        <f t="shared" si="309"/>
        <v>0.68320809286799034</v>
      </c>
      <c r="I332" s="1">
        <f t="shared" si="309"/>
        <v>0.80821792829343309</v>
      </c>
      <c r="J332" s="1">
        <f t="shared" si="309"/>
        <v>0.23309683206144488</v>
      </c>
      <c r="K332" s="1">
        <f t="shared" si="309"/>
        <v>0.72384176477670403</v>
      </c>
      <c r="L332" s="1">
        <f t="shared" ref="L332" si="310">IFERROR(L104/L88,0)*L316</f>
        <v>0.21429943564999757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8.9872567102442728E-4</v>
      </c>
      <c r="L333" s="1">
        <f t="shared" ref="L333" si="312">IFERROR(L105/L89,0)*L317</f>
        <v>8.3825878247853355E-2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2.2973733547816327E-2</v>
      </c>
      <c r="G335" s="1">
        <f t="shared" si="315"/>
        <v>5.9563119535215123E-3</v>
      </c>
      <c r="H335" s="1">
        <f t="shared" si="315"/>
        <v>1.2989850559546318E-2</v>
      </c>
      <c r="I335" s="1">
        <f t="shared" si="315"/>
        <v>0</v>
      </c>
      <c r="J335" s="1">
        <f t="shared" si="315"/>
        <v>6.9382481985001748E-3</v>
      </c>
      <c r="K335" s="1">
        <f t="shared" si="315"/>
        <v>2.3266025664679521E-3</v>
      </c>
      <c r="L335" s="1">
        <f t="shared" ref="L335" si="316">IFERROR(L107/L91,0)*L319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0</v>
      </c>
      <c r="J336" s="1">
        <f t="shared" si="317"/>
        <v>0</v>
      </c>
      <c r="K336" s="1">
        <f t="shared" si="317"/>
        <v>0</v>
      </c>
      <c r="L336" s="1">
        <f t="shared" ref="L336" si="318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3.86419179357975E-2</v>
      </c>
      <c r="G337" s="1">
        <f t="shared" si="319"/>
        <v>3.1481805049867403E-2</v>
      </c>
      <c r="H337" s="1">
        <f t="shared" si="319"/>
        <v>7.8682481200700385E-2</v>
      </c>
      <c r="I337" s="1">
        <f t="shared" si="319"/>
        <v>0</v>
      </c>
      <c r="J337" s="1">
        <f t="shared" si="319"/>
        <v>0.34997197063358748</v>
      </c>
      <c r="K337" s="1">
        <f t="shared" si="319"/>
        <v>0.1411776996784927</v>
      </c>
      <c r="L337" s="1">
        <f t="shared" ref="L337" si="320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0</v>
      </c>
      <c r="J338" s="1">
        <f t="shared" si="321"/>
        <v>0</v>
      </c>
      <c r="K338" s="1">
        <f t="shared" si="321"/>
        <v>0</v>
      </c>
      <c r="L338" s="1">
        <f t="shared" ref="L338" si="322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0.75190046087889462</v>
      </c>
      <c r="G340" s="1">
        <f t="shared" si="325"/>
        <v>0.75879515523217567</v>
      </c>
      <c r="H340" s="1">
        <f t="shared" si="325"/>
        <v>4.1390359084865033E-2</v>
      </c>
      <c r="I340" s="1">
        <f t="shared" si="325"/>
        <v>0</v>
      </c>
      <c r="J340" s="1">
        <f t="shared" si="325"/>
        <v>0.21528336829205774</v>
      </c>
      <c r="K340" s="1">
        <f t="shared" si="325"/>
        <v>0.22035927923359769</v>
      </c>
      <c r="L340" s="1">
        <f t="shared" ref="L340" si="326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0</v>
      </c>
      <c r="J341" s="1">
        <f t="shared" si="327"/>
        <v>0</v>
      </c>
      <c r="K341" s="1">
        <f t="shared" si="327"/>
        <v>0</v>
      </c>
      <c r="L341" s="1">
        <f t="shared" ref="L341" si="328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1.1426281977334287</v>
      </c>
      <c r="G342" s="1">
        <f t="shared" ref="G342:K342" si="329">SUM(G343:G357)</f>
        <v>1.2937867598345274</v>
      </c>
      <c r="H342" s="1">
        <f t="shared" si="329"/>
        <v>1.3475016808297593</v>
      </c>
      <c r="I342" s="1">
        <f t="shared" si="329"/>
        <v>1.4645376884732166</v>
      </c>
      <c r="J342" s="1">
        <f t="shared" si="329"/>
        <v>1.5001356595686883</v>
      </c>
      <c r="K342" s="1">
        <f t="shared" si="329"/>
        <v>1.7738021845741765</v>
      </c>
      <c r="L342" s="1">
        <f t="shared" ref="L342" si="330">SUM(L343:L357)</f>
        <v>3.0399172965688694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0</v>
      </c>
      <c r="L343" s="1">
        <f t="shared" ref="L343" si="332">L311-L327</f>
        <v>0.26225973261173846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0</v>
      </c>
      <c r="J344" s="1">
        <f t="shared" si="333"/>
        <v>0</v>
      </c>
      <c r="K344" s="1">
        <f t="shared" si="333"/>
        <v>0</v>
      </c>
      <c r="L344" s="1">
        <f t="shared" ref="L344" si="334">L312-L328</f>
        <v>0.2899523865303833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0</v>
      </c>
      <c r="L345" s="1">
        <f t="shared" ref="L345" si="336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3.3233815105582432E-2</v>
      </c>
      <c r="G346" s="1">
        <f t="shared" si="337"/>
        <v>1.7992076688536432E-4</v>
      </c>
      <c r="H346" s="1">
        <f t="shared" si="337"/>
        <v>3.1123713658902721E-4</v>
      </c>
      <c r="I346" s="1">
        <f t="shared" si="337"/>
        <v>0</v>
      </c>
      <c r="J346" s="1">
        <f t="shared" si="337"/>
        <v>0</v>
      </c>
      <c r="K346" s="1">
        <f t="shared" si="337"/>
        <v>0</v>
      </c>
      <c r="L346" s="1">
        <f t="shared" ref="L346" si="338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0</v>
      </c>
      <c r="L347" s="1">
        <f t="shared" ref="L347" si="340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2.3098529108794619E-2</v>
      </c>
      <c r="G348" s="1">
        <f t="shared" si="341"/>
        <v>4.9025702748763805E-3</v>
      </c>
      <c r="H348" s="1">
        <f t="shared" si="341"/>
        <v>3.9439373186500259E-2</v>
      </c>
      <c r="I348" s="1">
        <f t="shared" si="341"/>
        <v>8.4310170013352836E-2</v>
      </c>
      <c r="J348" s="1">
        <f t="shared" si="341"/>
        <v>1.2704259694275855E-2</v>
      </c>
      <c r="K348" s="1">
        <f t="shared" si="341"/>
        <v>0.15242739437863628</v>
      </c>
      <c r="L348" s="1">
        <f t="shared" ref="L348" si="342">L316-L332</f>
        <v>0.70739368668629532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1.8925463956574078E-4</v>
      </c>
      <c r="L349" s="1">
        <f t="shared" ref="L349" si="344">L317-L333</f>
        <v>0.27670580127104594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6.0981630705596659E-4</v>
      </c>
      <c r="G351" s="1">
        <f t="shared" si="347"/>
        <v>2.5125545552483197E-4</v>
      </c>
      <c r="H351" s="1">
        <f t="shared" si="347"/>
        <v>7.4986167348255542E-4</v>
      </c>
      <c r="I351" s="1">
        <f t="shared" si="347"/>
        <v>0</v>
      </c>
      <c r="J351" s="1">
        <f t="shared" si="347"/>
        <v>3.7814888412491393E-4</v>
      </c>
      <c r="K351" s="1">
        <f t="shared" si="347"/>
        <v>4.8993852554329908E-4</v>
      </c>
      <c r="L351" s="1">
        <f t="shared" ref="L351" si="348">L319-L335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0</v>
      </c>
      <c r="J352" s="1">
        <f t="shared" si="349"/>
        <v>0</v>
      </c>
      <c r="K352" s="1">
        <f t="shared" si="349"/>
        <v>0</v>
      </c>
      <c r="L352" s="1">
        <f t="shared" ref="L352" si="350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1.0257136326632318E-3</v>
      </c>
      <c r="G353" s="1">
        <f t="shared" si="351"/>
        <v>1.3279988238144302E-3</v>
      </c>
      <c r="H353" s="1">
        <f t="shared" si="351"/>
        <v>4.542082817385204E-3</v>
      </c>
      <c r="I353" s="1">
        <f t="shared" si="351"/>
        <v>0</v>
      </c>
      <c r="J353" s="1">
        <f t="shared" si="351"/>
        <v>1.9074196596007675E-2</v>
      </c>
      <c r="K353" s="1">
        <f t="shared" si="351"/>
        <v>2.9729355162313287E-2</v>
      </c>
      <c r="L353" s="1">
        <f t="shared" ref="L353" si="352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0</v>
      </c>
      <c r="J354" s="1">
        <f t="shared" si="353"/>
        <v>0</v>
      </c>
      <c r="K354" s="1">
        <f t="shared" si="353"/>
        <v>0</v>
      </c>
      <c r="L354" s="1">
        <f t="shared" ref="L354" si="354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1.064701827874988</v>
      </c>
      <c r="G355" s="1">
        <f t="shared" si="355"/>
        <v>1.255116714097734</v>
      </c>
      <c r="H355" s="1">
        <f t="shared" si="355"/>
        <v>1.3000697956853919</v>
      </c>
      <c r="I355" s="1">
        <f t="shared" si="355"/>
        <v>1.3802275184598638</v>
      </c>
      <c r="J355" s="1">
        <f t="shared" si="355"/>
        <v>1.4562456653368097</v>
      </c>
      <c r="K355" s="1">
        <f t="shared" si="355"/>
        <v>1.5445627426570805</v>
      </c>
      <c r="L355" s="1">
        <f t="shared" ref="L355" si="356">L323-L339</f>
        <v>1.5036056894694065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1.9958495704344381E-2</v>
      </c>
      <c r="G356" s="1">
        <f t="shared" si="357"/>
        <v>3.2008300415692359E-2</v>
      </c>
      <c r="H356" s="1">
        <f t="shared" si="357"/>
        <v>2.3893303304102637E-3</v>
      </c>
      <c r="I356" s="1">
        <f t="shared" si="357"/>
        <v>0</v>
      </c>
      <c r="J356" s="1">
        <f t="shared" si="357"/>
        <v>1.1733389057470262E-2</v>
      </c>
      <c r="K356" s="1">
        <f t="shared" si="357"/>
        <v>4.6403499211037286E-2</v>
      </c>
      <c r="L356" s="1">
        <f t="shared" ref="L356" si="358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0</v>
      </c>
      <c r="J357" s="1">
        <f t="shared" si="359"/>
        <v>0</v>
      </c>
      <c r="K357" s="1">
        <f t="shared" si="359"/>
        <v>0</v>
      </c>
      <c r="L357" s="1">
        <f t="shared" ref="L357" si="360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22.495510455390569</v>
      </c>
      <c r="G358" s="1">
        <f t="shared" ref="G358:K358" si="362">SUM(G359:G364)</f>
        <v>24.548903980651421</v>
      </c>
      <c r="H358" s="1">
        <f t="shared" si="362"/>
        <v>26.276486970620951</v>
      </c>
      <c r="I358" s="1">
        <f t="shared" si="362"/>
        <v>24.684947197580815</v>
      </c>
      <c r="J358" s="1">
        <f t="shared" si="362"/>
        <v>25.190756891668954</v>
      </c>
      <c r="K358" s="1">
        <f t="shared" si="362"/>
        <v>26.374304706309186</v>
      </c>
      <c r="L358" s="1">
        <f t="shared" ref="L358" si="363">SUM(L359:L364)</f>
        <v>41.054590578899109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20.958776032074827</v>
      </c>
      <c r="K359" s="1">
        <f>'[2]Electricity and CHPs_IN'!G$19</f>
        <v>14.444410562413781</v>
      </c>
      <c r="L359" s="1">
        <f>'[2]Electricity and CHPs_IN'!H$19</f>
        <v>2.6977174187167263E-4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7.6098820787713999</v>
      </c>
      <c r="L360" s="1">
        <f>'[2]Electricity and CHPs_IN'!H$20</f>
        <v>25.064097236208948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4.2316205934830444</v>
      </c>
      <c r="K361" s="1">
        <f>IFERROR(K133/SUM(K133,K198),0)*'[2]Electricity and CHPs_IN'!G$26</f>
        <v>3.4685483674603197</v>
      </c>
      <c r="L361" s="1">
        <f>IFERROR(L133/SUM(L133,L198),0)*'[2]Electricity and CHPs_IN'!H$26</f>
        <v>12.225286669019521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0.8506108006394173</v>
      </c>
      <c r="L362" s="1">
        <f>IFERROR(L134/SUM(L134,L199),0)*'[2]Electricity and CHPs_IN'!H$27</f>
        <v>2.573897295167999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3.6026611108426406E-4</v>
      </c>
      <c r="K363" s="1">
        <f>IFERROR(K135/SUM(K135,K274),0)*'[2]Electricity and CHPs_IN'!G$44</f>
        <v>6.3928724657086062E-4</v>
      </c>
      <c r="L363" s="1">
        <f>IFERROR(L135/SUM(L135,L274),0)*'[2]Electricity and CHPs_IN'!H$44</f>
        <v>4.3126845701340229E-5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2.1360977770042242E-4</v>
      </c>
      <c r="L364" s="1">
        <f>IFERROR(L136/SUM(L136,L275),0)*'[2]Electricity and CHPs_IN'!H$45</f>
        <v>1.1909964799150616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11.050533188349073</v>
      </c>
      <c r="G365" s="1">
        <f t="shared" ref="G365:K365" si="364">SUM(G366:G369)</f>
        <v>12.069856089929146</v>
      </c>
      <c r="H365" s="1">
        <f t="shared" si="364"/>
        <v>13.137049279969895</v>
      </c>
      <c r="I365" s="1">
        <f t="shared" si="364"/>
        <v>12.341111347717082</v>
      </c>
      <c r="J365" s="1">
        <f t="shared" si="364"/>
        <v>12.595198312778935</v>
      </c>
      <c r="K365" s="1">
        <f t="shared" si="364"/>
        <v>13.186725904642458</v>
      </c>
      <c r="L365" s="1">
        <f t="shared" ref="L365" si="365">SUM(L366:L369)</f>
        <v>19.931775486069171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9.1017960678297793</v>
      </c>
      <c r="G366" s="1">
        <f t="shared" ref="G366:K366" si="366">G359*IFERROR(G138/G131,0)</f>
        <v>10.214892657812944</v>
      </c>
      <c r="H366" s="1">
        <f t="shared" si="366"/>
        <v>11.371594624218114</v>
      </c>
      <c r="I366" s="1">
        <f t="shared" si="366"/>
        <v>10.35692688950089</v>
      </c>
      <c r="J366" s="1">
        <f t="shared" si="366"/>
        <v>10.479388016037413</v>
      </c>
      <c r="K366" s="1">
        <f t="shared" si="366"/>
        <v>7.2222052812068904</v>
      </c>
      <c r="L366" s="1">
        <f t="shared" ref="L366" si="367">L359*IFERROR(L138/L131,0)</f>
        <v>1.3488587093583632E-4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3.8049410393856999</v>
      </c>
      <c r="L367" s="1">
        <f t="shared" ref="L367" si="369">L360*IFERROR(L139/L132,0)</f>
        <v>12.532048618104474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1.9487371205192929</v>
      </c>
      <c r="G368" s="1">
        <f t="shared" si="370"/>
        <v>1.8549634321162023</v>
      </c>
      <c r="H368" s="1">
        <f t="shared" si="370"/>
        <v>1.7654546557517818</v>
      </c>
      <c r="I368" s="1">
        <f t="shared" si="370"/>
        <v>1.9841844582161914</v>
      </c>
      <c r="J368" s="1">
        <f t="shared" si="370"/>
        <v>2.1158102967415218</v>
      </c>
      <c r="K368" s="1">
        <f t="shared" si="370"/>
        <v>1.7342741837301598</v>
      </c>
      <c r="L368" s="1">
        <f t="shared" ref="L368" si="371">L361*IFERROR(L140/L133,0)</f>
        <v>6.1126433345097606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0.42530540031970865</v>
      </c>
      <c r="L369" s="1">
        <f t="shared" ref="L369" si="373">L362*IFERROR(L141/L134,0)</f>
        <v>1.2869486475839995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11.444977267041498</v>
      </c>
      <c r="G372" s="1">
        <f t="shared" ref="G372:K372" si="378">SUM(G373:G378)</f>
        <v>12.479047890722274</v>
      </c>
      <c r="H372" s="1">
        <f t="shared" si="378"/>
        <v>13.139437690651057</v>
      </c>
      <c r="I372" s="1">
        <f t="shared" si="378"/>
        <v>12.343835849863732</v>
      </c>
      <c r="J372" s="1">
        <f t="shared" si="378"/>
        <v>12.595558578890019</v>
      </c>
      <c r="K372" s="1">
        <f t="shared" si="378"/>
        <v>13.18757880166673</v>
      </c>
      <c r="L372" s="1">
        <f t="shared" ref="L372" si="379">SUM(L373:L378)</f>
        <v>21.122815092829931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9.1017960678297793</v>
      </c>
      <c r="G373" s="1">
        <f t="shared" si="380"/>
        <v>10.214892657812944</v>
      </c>
      <c r="H373" s="1">
        <f t="shared" si="380"/>
        <v>11.371594624218114</v>
      </c>
      <c r="I373" s="1">
        <f t="shared" si="380"/>
        <v>10.35692688950089</v>
      </c>
      <c r="J373" s="1">
        <f t="shared" si="380"/>
        <v>10.479388016037413</v>
      </c>
      <c r="K373" s="1">
        <f t="shared" si="380"/>
        <v>7.2222052812068904</v>
      </c>
      <c r="L373" s="1">
        <f t="shared" ref="L373" si="381">L366*IFERROR(L145/L138,0)</f>
        <v>1.3488587093583632E-4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3.8049410393856999</v>
      </c>
      <c r="L374" s="1">
        <f t="shared" ref="L374" si="383">L367*IFERROR(L146/L139,0)</f>
        <v>12.532048618104474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1.9487371205192923</v>
      </c>
      <c r="G375" s="1">
        <f t="shared" si="384"/>
        <v>1.8549634321162023</v>
      </c>
      <c r="H375" s="1">
        <f t="shared" si="384"/>
        <v>1.7654546557517818</v>
      </c>
      <c r="I375" s="1">
        <f t="shared" si="384"/>
        <v>1.9841844582161918</v>
      </c>
      <c r="J375" s="1">
        <f t="shared" si="384"/>
        <v>2.1158102967415222</v>
      </c>
      <c r="K375" s="1">
        <f t="shared" si="384"/>
        <v>1.7342741837301598</v>
      </c>
      <c r="L375" s="1">
        <f t="shared" ref="L375" si="385">L368*IFERROR(L147/L140,0)</f>
        <v>6.1126433345097606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0.42530540031970865</v>
      </c>
      <c r="L376" s="1">
        <f t="shared" ref="L376" si="387">L369*IFERROR(L148/L141,0)</f>
        <v>1.2869486475839995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0.39444407869242698</v>
      </c>
      <c r="G377" s="1">
        <f t="shared" ref="G377:K377" si="388">G363</f>
        <v>0.40919180079312811</v>
      </c>
      <c r="H377" s="1">
        <f t="shared" si="388"/>
        <v>2.3884106811612642E-3</v>
      </c>
      <c r="I377" s="1">
        <f t="shared" si="388"/>
        <v>2.72450214665086E-3</v>
      </c>
      <c r="J377" s="1">
        <f t="shared" si="388"/>
        <v>3.6026611108426406E-4</v>
      </c>
      <c r="K377" s="1">
        <f t="shared" si="388"/>
        <v>6.3928724657086062E-4</v>
      </c>
      <c r="L377" s="1">
        <f t="shared" ref="L377" si="389">L363</f>
        <v>4.3126845701340229E-5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2.1360977770042242E-4</v>
      </c>
      <c r="L378" s="1">
        <f t="shared" ref="L378" si="391">L364</f>
        <v>1.1909964799150616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0.56167658833277989</v>
      </c>
      <c r="G379" s="1">
        <f t="shared" ref="G379:K379" si="392">SUM(G380:G386)</f>
        <v>0.53624445847401314</v>
      </c>
      <c r="H379" s="1">
        <f t="shared" si="392"/>
        <v>1.0887516895489582</v>
      </c>
      <c r="I379" s="1">
        <f t="shared" si="392"/>
        <v>2.6661810050280748</v>
      </c>
      <c r="J379" s="1">
        <f t="shared" si="392"/>
        <v>2.8596868701048623</v>
      </c>
      <c r="K379" s="1">
        <f t="shared" si="392"/>
        <v>4.2296141357520405</v>
      </c>
      <c r="L379" s="1">
        <f t="shared" ref="L379" si="393">SUM(L380:L386)</f>
        <v>5.3361735646202053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0.50692934850705695</v>
      </c>
      <c r="K380" s="1">
        <f>IFERROR(K152/SUM(K152,K207),0)*'[2]Electricity and CHPs_IN'!G$25</f>
        <v>0.84566847167825909</v>
      </c>
      <c r="L380" s="1">
        <f>IFERROR(L152/SUM(L152,L207),0)*'[2]Electricity and CHPs_IN'!H$25</f>
        <v>1.2184306047109081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4.1280420802853381E-4</v>
      </c>
      <c r="L381" s="1">
        <f>'[2]Electricity and CHPs_IN'!H$31</f>
        <v>1.9850893892202097E-3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2.349185908159213</v>
      </c>
      <c r="K382" s="1">
        <f>IFERROR(K154/SUM(K154,K283),0)*'[2]Electricity and CHPs_IN'!G$42</f>
        <v>1.6122631071923383</v>
      </c>
      <c r="L382" s="1">
        <f>IFERROR(L154/SUM(L154,L283),0)*'[2]Electricity and CHPs_IN'!H$42</f>
        <v>1.27298473399523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1.4121064078027938</v>
      </c>
      <c r="L383" s="1">
        <f>IFERROR(L155/SUM(L155,L284),0)*'[2]Electricity and CHPs_IN'!H$43</f>
        <v>2.5933763608458591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3.8005893717778873E-4</v>
      </c>
      <c r="K384" s="1">
        <f>IFERROR(K156/SUM(K285,K156),0)*'[2]Electricity and CHPs_IN'!G$50</f>
        <v>4.3934184733093246E-4</v>
      </c>
      <c r="L384" s="1">
        <f>IFERROR(L156/SUM(L285,L156),0)*'[2]Electricity and CHPs_IN'!H$50</f>
        <v>1.8343720155451044E-4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3.0375430979590373E-3</v>
      </c>
      <c r="K385" s="1">
        <f>IFERROR(K157/SUM(K286,K157),0)*'[2]Electricity and CHPs_IN'!G$53</f>
        <v>0.35849850714085701</v>
      </c>
      <c r="L385" s="1">
        <f>IFERROR(L157/SUM(L286,L157),0)*'[2]Electricity and CHPs_IN'!H$53</f>
        <v>0.24915286224974176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1.5401140345552258E-4</v>
      </c>
      <c r="K386" s="1">
        <f>IFERROR(K158/SUM(K287,K158),0)*'[2]Electricity and CHPs_IN'!G$56</f>
        <v>2.2549588243271138E-4</v>
      </c>
      <c r="L386" s="1">
        <f>IFERROR(L158/SUM(L287,L158),0)*'[2]Electricity and CHPs_IN'!H$56</f>
        <v>6.0476227691838713E-5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0.54529229929872658</v>
      </c>
      <c r="H387" s="1">
        <f t="shared" si="394"/>
        <v>0.50316489763227623</v>
      </c>
      <c r="I387" s="1">
        <f t="shared" si="394"/>
        <v>2.050259966074901</v>
      </c>
      <c r="J387" s="1">
        <f t="shared" si="394"/>
        <v>3.6358957293724981</v>
      </c>
      <c r="K387" s="1">
        <f t="shared" si="394"/>
        <v>7.1993345093761221</v>
      </c>
      <c r="L387" s="1">
        <f t="shared" si="394"/>
        <v>9.3572354223313248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3.6358957293724981</v>
      </c>
      <c r="K388" s="1">
        <f>'[2]Electricity and CHPs_IN'!G$33</f>
        <v>7.1993345093761221</v>
      </c>
      <c r="L388" s="1">
        <f>'[2]Electricity and CHPs_IN'!H$33</f>
        <v>9.3572354223313248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12.821422891735427</v>
      </c>
      <c r="H389" s="1">
        <f t="shared" si="395"/>
        <v>28.800004193581717</v>
      </c>
      <c r="I389" s="1">
        <f t="shared" si="395"/>
        <v>50.701498810562612</v>
      </c>
      <c r="J389" s="1">
        <f t="shared" si="395"/>
        <v>61.384087462815678</v>
      </c>
      <c r="K389" s="1">
        <f t="shared" si="395"/>
        <v>90.335097448336043</v>
      </c>
      <c r="L389" s="1">
        <f t="shared" ref="L389" si="396">SUM(L390:L394)</f>
        <v>120.10644979864459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1.3196983803416822</v>
      </c>
      <c r="K390" s="1">
        <f>'[2]Electricity and CHPs_IN'!G34</f>
        <v>3.4225365206050307</v>
      </c>
      <c r="L390" s="1">
        <f>'[2]Electricity and CHPs_IN'!H34</f>
        <v>18.178313356413419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27.72786324891058</v>
      </c>
      <c r="K391" s="1">
        <f>'[2]Electricity and CHPs_IN'!G35</f>
        <v>40.847646985549105</v>
      </c>
      <c r="L391" s="1">
        <f>'[2]Electricity and CHPs_IN'!H35</f>
        <v>50.935792746051874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11.801960342978287</v>
      </c>
      <c r="K392" s="1">
        <f>'[2]Electricity and CHPs_IN'!G36</f>
        <v>12.452152782480272</v>
      </c>
      <c r="L392" s="1">
        <f>'[2]Electricity and CHPs_IN'!H36</f>
        <v>13.862942911433937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1.7190229640527548</v>
      </c>
      <c r="K393" s="1">
        <f>'[2]Electricity and CHPs_IN'!G37</f>
        <v>1.8073620598594649</v>
      </c>
      <c r="L393" s="1">
        <f>'[2]Electricity and CHPs_IN'!H37</f>
        <v>1.9964528344576082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18.815542526532376</v>
      </c>
      <c r="K394" s="1">
        <f>'[2]Electricity and CHPs_IN'!G38</f>
        <v>31.805399099842173</v>
      </c>
      <c r="L394" s="1">
        <f>'[2]Electricity and CHPs_IN'!H38</f>
        <v>35.132947950287758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7.230576909430058E-3</v>
      </c>
      <c r="L396" s="1">
        <f>'[2]Electricity and CHPs_IN'!H$32</f>
        <v>44.245217550945291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4.3658595322408157E-2</v>
      </c>
      <c r="J397" s="1">
        <f t="shared" ref="J397" si="401">SUM(J398:J400)</f>
        <v>3.0659050641004787E-3</v>
      </c>
      <c r="K397" s="1">
        <f t="shared" ref="K397:L397" si="402">SUM(K398:K400)</f>
        <v>0.124310446781864</v>
      </c>
      <c r="L397" s="1">
        <f t="shared" si="402"/>
        <v>2.6841961156067287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9.3851418482688409E-2</v>
      </c>
      <c r="L398" s="1">
        <f>IFERROR(L170/SUM(L170,L209),0)*'[2]Electricity and CHPs_IN'!H$30</f>
        <v>0.11743678557181979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2.5095737299525253E-3</v>
      </c>
      <c r="K399" s="1">
        <f>IFERROR(K171/SUM(K171,K289),0)*'[2]Electricity and CHPs_IN'!G$46</f>
        <v>8.4210712362496748E-3</v>
      </c>
      <c r="L399" s="1">
        <f>IFERROR(L171/SUM(L171,L289),0)*'[2]Electricity and CHPs_IN'!H$46</f>
        <v>2.5350404293136943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5.5633133414795342E-4</v>
      </c>
      <c r="K400" s="1">
        <f>IFERROR(K172/SUM(K172,K290),0)*'[2]Electricity and CHPs_IN'!G$57</f>
        <v>2.2037957062925911E-2</v>
      </c>
      <c r="L400" s="1">
        <f>IFERROR(L172/SUM(L172,L290),0)*'[2]Electricity and CHPs_IN'!H$57</f>
        <v>3.1718900721214784E-2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0.15751590352106659</v>
      </c>
      <c r="G401" s="1">
        <f t="shared" ref="G401:K401" si="403">SUM(G402:G408)</f>
        <v>3.1566447775849243E-2</v>
      </c>
      <c r="H401" s="1">
        <f t="shared" si="403"/>
        <v>0.45379139233877969</v>
      </c>
      <c r="I401" s="1">
        <f t="shared" si="403"/>
        <v>1.2438805942332385</v>
      </c>
      <c r="J401" s="1">
        <f t="shared" si="403"/>
        <v>1.5757989199071714</v>
      </c>
      <c r="K401" s="1">
        <f t="shared" si="403"/>
        <v>1.6041198038491991</v>
      </c>
      <c r="L401" s="1">
        <f t="shared" ref="L401" si="404">SUM(L402:L408)</f>
        <v>7.1114546337472202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3.4627252722209047E-2</v>
      </c>
      <c r="K402" s="1">
        <f>'[2]Electricity and CHPs_IN'!G63</f>
        <v>2.630726176231056E-2</v>
      </c>
      <c r="L402" s="1">
        <f>'[2]Electricity and CHPs_IN'!H63</f>
        <v>0.13499926365658638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7.0808841351418378E-2</v>
      </c>
      <c r="K403" s="1">
        <f>'[2]Electricity and CHPs_IN'!G64</f>
        <v>0.16475769243980062</v>
      </c>
      <c r="L403" s="1">
        <f>'[2]Electricity and CHPs_IN'!H64</f>
        <v>3.6646081633045502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6.1538474699509675E-2</v>
      </c>
      <c r="K404" s="1">
        <f>'[2]Electricity and CHPs_IN'!G65</f>
        <v>7.84887952832094E-2</v>
      </c>
      <c r="L404" s="1">
        <f>'[2]Electricity and CHPs_IN'!H65</f>
        <v>0.72528197249514137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0.33258665095057965</v>
      </c>
      <c r="K405" s="1">
        <f>'[2]Electricity and CHPs_IN'!G66</f>
        <v>0.28775340524380605</v>
      </c>
      <c r="L405" s="1">
        <f>'[2]Electricity and CHPs_IN'!H66</f>
        <v>0.91665892588145859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0.57549236371209278</v>
      </c>
      <c r="K406" s="1">
        <f>'[2]Electricity and CHPs_IN'!G67</f>
        <v>0.40478135556934902</v>
      </c>
      <c r="L406" s="1">
        <f>'[2]Electricity and CHPs_IN'!H67</f>
        <v>0.7423791729945638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3.5709990837559026E-2</v>
      </c>
      <c r="K407" s="1">
        <f>'[2]Electricity and CHPs_IN'!G68</f>
        <v>2.362424466049616E-2</v>
      </c>
      <c r="L407" s="1">
        <f>'[2]Electricity and CHPs_IN'!H68</f>
        <v>4.1199526887020145E-2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0.46503534563380283</v>
      </c>
      <c r="K408" s="1">
        <f>'[2]Electricity and CHPs_IN'!G69</f>
        <v>0.61840704889022735</v>
      </c>
      <c r="L408" s="1">
        <f>'[2]Electricity and CHPs_IN'!H69</f>
        <v>0.88632760852790016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6">G410+G463</f>
        <v>53.213129580328328</v>
      </c>
      <c r="H409" s="3">
        <f t="shared" si="406"/>
        <v>48.258681166483214</v>
      </c>
      <c r="I409" s="3">
        <f t="shared" si="406"/>
        <v>52.946200746352808</v>
      </c>
      <c r="J409" s="3">
        <f t="shared" si="406"/>
        <v>56.802105958421755</v>
      </c>
      <c r="K409" s="3">
        <f t="shared" si="406"/>
        <v>58.644035726289523</v>
      </c>
      <c r="L409" s="3">
        <f t="shared" ref="L409" si="407">L410+L463</f>
        <v>53.443184604207389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47.892256055772165</v>
      </c>
      <c r="G410" s="1">
        <f t="shared" si="408"/>
        <v>44.510640674092045</v>
      </c>
      <c r="H410" s="1">
        <f t="shared" si="408"/>
        <v>41.689327990707845</v>
      </c>
      <c r="I410" s="1">
        <f t="shared" si="408"/>
        <v>46.032894745716959</v>
      </c>
      <c r="J410" s="1">
        <f t="shared" si="408"/>
        <v>48.251855408325071</v>
      </c>
      <c r="K410" s="1">
        <f t="shared" si="408"/>
        <v>48.118100835230379</v>
      </c>
      <c r="L410" s="1">
        <f t="shared" ref="L410" si="409">L411+L440</f>
        <v>35.299480510136519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10">SUM(G412,G418,G427,G436,G438)</f>
        <v>34.339854865586041</v>
      </c>
      <c r="H411" s="1">
        <f t="shared" si="410"/>
        <v>32.202853691358847</v>
      </c>
      <c r="I411" s="1">
        <f t="shared" si="410"/>
        <v>37.943271610050921</v>
      </c>
      <c r="J411" s="1">
        <f t="shared" si="410"/>
        <v>37.731684082613548</v>
      </c>
      <c r="K411" s="1">
        <f t="shared" si="410"/>
        <v>39.097060643535876</v>
      </c>
      <c r="L411" s="1">
        <f t="shared" ref="L411" si="411">SUM(L412,L418,L427,L436,L438)</f>
        <v>26.14593066793698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12">G413</f>
        <v>1.7174668271161746E-3</v>
      </c>
      <c r="H412" s="1">
        <f t="shared" si="412"/>
        <v>6.2602704745324741E-3</v>
      </c>
      <c r="I412" s="1">
        <f t="shared" si="412"/>
        <v>7.8380019649357605E-3</v>
      </c>
      <c r="J412" s="1">
        <f t="shared" si="412"/>
        <v>2.1542664270804592E-4</v>
      </c>
      <c r="K412" s="1">
        <f t="shared" si="412"/>
        <v>1.0283301324342242</v>
      </c>
      <c r="L412" s="1">
        <f t="shared" si="412"/>
        <v>0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2.1542664270804592E-4</v>
      </c>
      <c r="K413" s="1">
        <f>'[2]Electricity and CHPs_IN'!G$28-K300</f>
        <v>1.0283301324342242</v>
      </c>
      <c r="L413" s="1">
        <f>'[2]Electricity and CHPs_IN'!H$28-L300</f>
        <v>0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13">G415</f>
        <v>1.7174668271161746E-3</v>
      </c>
      <c r="H414" s="1">
        <f t="shared" si="413"/>
        <v>6.2602704745324741E-3</v>
      </c>
      <c r="I414" s="1">
        <f t="shared" si="413"/>
        <v>7.8380019649357605E-3</v>
      </c>
      <c r="J414" s="1">
        <f t="shared" si="413"/>
        <v>2.1542664270804592E-4</v>
      </c>
      <c r="K414" s="1">
        <f t="shared" si="413"/>
        <v>1.0283301324342242</v>
      </c>
      <c r="L414" s="1">
        <f t="shared" si="413"/>
        <v>0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14">G413-G417</f>
        <v>1.7174668271161746E-3</v>
      </c>
      <c r="H415" s="1">
        <f t="shared" si="414"/>
        <v>6.2602704745324741E-3</v>
      </c>
      <c r="I415" s="1">
        <f t="shared" si="414"/>
        <v>7.8380019649357605E-3</v>
      </c>
      <c r="J415" s="1">
        <f t="shared" si="414"/>
        <v>2.1542664270804592E-4</v>
      </c>
      <c r="K415" s="1">
        <f t="shared" si="414"/>
        <v>1.0283301324342242</v>
      </c>
      <c r="L415" s="1">
        <f t="shared" ref="L415" si="415">L413-L417</f>
        <v>0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9">SUM(G419:G420)</f>
        <v>8.5416161190800134E-3</v>
      </c>
      <c r="H418" s="1">
        <f t="shared" si="419"/>
        <v>1.1422680603377902E-2</v>
      </c>
      <c r="I418" s="1">
        <f t="shared" si="419"/>
        <v>0</v>
      </c>
      <c r="J418" s="1">
        <f t="shared" si="419"/>
        <v>0</v>
      </c>
      <c r="K418" s="1">
        <f t="shared" si="419"/>
        <v>0</v>
      </c>
      <c r="L418" s="1">
        <f t="shared" ref="L418" si="420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21">SUM(G422:G423)</f>
        <v>8.1958884761082883E-3</v>
      </c>
      <c r="H421" s="1">
        <f t="shared" si="421"/>
        <v>1.079927377740994E-2</v>
      </c>
      <c r="I421" s="1">
        <f t="shared" si="421"/>
        <v>0</v>
      </c>
      <c r="J421" s="1">
        <f t="shared" si="421"/>
        <v>0</v>
      </c>
      <c r="K421" s="1">
        <f t="shared" si="421"/>
        <v>0</v>
      </c>
      <c r="L421" s="1">
        <f t="shared" ref="L421" si="422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23">G419-G425</f>
        <v>8.1958884761082883E-3</v>
      </c>
      <c r="H422" s="1">
        <f t="shared" si="423"/>
        <v>1.079927377740994E-2</v>
      </c>
      <c r="I422" s="1">
        <f t="shared" si="423"/>
        <v>0</v>
      </c>
      <c r="J422" s="1">
        <f t="shared" si="423"/>
        <v>0</v>
      </c>
      <c r="K422" s="1">
        <f t="shared" si="423"/>
        <v>0</v>
      </c>
      <c r="L422" s="1">
        <f t="shared" ref="L422" si="424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0</v>
      </c>
      <c r="L423" s="1">
        <f t="shared" ref="L423" si="426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7">SUM(G425:G426)</f>
        <v>3.4572764297172544E-4</v>
      </c>
      <c r="H424" s="1">
        <f t="shared" si="427"/>
        <v>6.2340682596796152E-4</v>
      </c>
      <c r="I424" s="1">
        <f t="shared" si="427"/>
        <v>0</v>
      </c>
      <c r="J424" s="1">
        <f t="shared" si="427"/>
        <v>0</v>
      </c>
      <c r="K424" s="1">
        <f t="shared" si="427"/>
        <v>0</v>
      </c>
      <c r="L424" s="1">
        <f t="shared" ref="L424" si="428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9">IFERROR(G346/G314,0)*G419</f>
        <v>3.4572764297172544E-4</v>
      </c>
      <c r="H425" s="1">
        <f t="shared" si="429"/>
        <v>6.2340682596796152E-4</v>
      </c>
      <c r="I425" s="1">
        <f t="shared" si="429"/>
        <v>0</v>
      </c>
      <c r="J425" s="1">
        <f t="shared" si="429"/>
        <v>0</v>
      </c>
      <c r="K425" s="1">
        <f t="shared" si="429"/>
        <v>0</v>
      </c>
      <c r="L425" s="1">
        <f t="shared" ref="L425" si="430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0</v>
      </c>
      <c r="L426" s="1">
        <f t="shared" ref="L426" si="432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33">SUM(G428:G429)</f>
        <v>34.163460300214481</v>
      </c>
      <c r="H427" s="1">
        <f t="shared" si="433"/>
        <v>32.182732757033769</v>
      </c>
      <c r="I427" s="1">
        <f t="shared" si="433"/>
        <v>35.502193289880729</v>
      </c>
      <c r="J427" s="1">
        <f t="shared" si="433"/>
        <v>36.405746721198817</v>
      </c>
      <c r="K427" s="1">
        <f t="shared" si="433"/>
        <v>35.74318007312467</v>
      </c>
      <c r="L427" s="1">
        <f t="shared" ref="L427" si="434">SUM(L428:L429)</f>
        <v>22.811309520841078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36.405746721198817</v>
      </c>
      <c r="K428" s="1">
        <f>'[2]Electricity and CHPs_IN'!G$26-K361</f>
        <v>27.762179999547779</v>
      </c>
      <c r="L428" s="1">
        <f>'[2]Electricity and CHPs_IN'!H$26-L361</f>
        <v>6.5794856526064649E-3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7.9810000735768902</v>
      </c>
      <c r="L429" s="1">
        <f>'[2]Electricity and CHPs_IN'!H$27-L362</f>
        <v>22.80473003518847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35">SUM(G431:G432)</f>
        <v>17.081730150107241</v>
      </c>
      <c r="H430" s="1">
        <f t="shared" si="435"/>
        <v>16.091366378516884</v>
      </c>
      <c r="I430" s="1">
        <f t="shared" si="435"/>
        <v>17.751096644940361</v>
      </c>
      <c r="J430" s="1">
        <f t="shared" si="435"/>
        <v>18.202873360599405</v>
      </c>
      <c r="K430" s="1">
        <f t="shared" si="435"/>
        <v>17.871590036562335</v>
      </c>
      <c r="L430" s="1">
        <f t="shared" ref="L430" si="436">SUM(L431:L432)</f>
        <v>11.405654760420539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7">IFERROR(G368/G361,0)*G428</f>
        <v>17.081730150107241</v>
      </c>
      <c r="H431" s="1">
        <f t="shared" si="437"/>
        <v>16.091366378516884</v>
      </c>
      <c r="I431" s="1">
        <f t="shared" si="437"/>
        <v>17.751096644940361</v>
      </c>
      <c r="J431" s="1">
        <f t="shared" si="437"/>
        <v>18.202873360599405</v>
      </c>
      <c r="K431" s="1">
        <f t="shared" si="437"/>
        <v>13.88108999977389</v>
      </c>
      <c r="L431" s="1">
        <f t="shared" ref="L431" si="438">IFERROR(L368/L361,0)*L428</f>
        <v>3.2897428263032324E-3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3.9905000367884451</v>
      </c>
      <c r="L432" s="1">
        <f t="shared" ref="L432" si="440">IFERROR(L369/L362,0)*L429</f>
        <v>11.402365017594235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41">SUM(G434:G435)</f>
        <v>17.081730150107241</v>
      </c>
      <c r="H433" s="1">
        <f t="shared" si="441"/>
        <v>16.091366378516884</v>
      </c>
      <c r="I433" s="1">
        <f t="shared" si="441"/>
        <v>17.751096644940368</v>
      </c>
      <c r="J433" s="1">
        <f t="shared" si="441"/>
        <v>18.202873360599412</v>
      </c>
      <c r="K433" s="1">
        <f t="shared" si="441"/>
        <v>17.871590036562335</v>
      </c>
      <c r="L433" s="1">
        <f t="shared" ref="L433" si="442">SUM(L434:L435)</f>
        <v>11.405654760420539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43">G428-G431</f>
        <v>17.081730150107241</v>
      </c>
      <c r="H434" s="1">
        <f t="shared" si="443"/>
        <v>16.091366378516884</v>
      </c>
      <c r="I434" s="1">
        <f t="shared" si="443"/>
        <v>17.751096644940368</v>
      </c>
      <c r="J434" s="1">
        <f t="shared" si="443"/>
        <v>18.202873360599412</v>
      </c>
      <c r="K434" s="1">
        <f t="shared" si="443"/>
        <v>13.88108999977389</v>
      </c>
      <c r="L434" s="1">
        <f t="shared" ref="L434" si="444">L428-L431</f>
        <v>3.2897428263032324E-3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3.9905000367884451</v>
      </c>
      <c r="L435" s="1">
        <f t="shared" ref="L435" si="446">L429-L432</f>
        <v>11.402365017594235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7">G437</f>
        <v>0.16613548242535944</v>
      </c>
      <c r="H436" s="1">
        <f t="shared" si="447"/>
        <v>2.43798324717241E-3</v>
      </c>
      <c r="I436" s="1">
        <f t="shared" si="447"/>
        <v>2.4332403182052551</v>
      </c>
      <c r="J436" s="1">
        <f t="shared" si="447"/>
        <v>1.3257219347720164</v>
      </c>
      <c r="K436" s="1">
        <f t="shared" si="447"/>
        <v>2.2115880012480069</v>
      </c>
      <c r="L436" s="1">
        <f t="shared" si="447"/>
        <v>3.186427108160037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1.3257219347720164</v>
      </c>
      <c r="K437" s="1">
        <f>'[2]Electricity and CHPs_IN'!G$25-K380</f>
        <v>2.2115880012480069</v>
      </c>
      <c r="L437" s="1">
        <f>'[2]Electricity and CHPs_IN'!H$25-L380</f>
        <v>3.186427108160037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0.11396243672897835</v>
      </c>
      <c r="L438" s="1">
        <f t="shared" si="448"/>
        <v>0.14819403893586752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0.11396243672897835</v>
      </c>
      <c r="L439" s="1">
        <f>'[2]Electricity and CHPs_IN'!H$30-L398</f>
        <v>0.14819403893586752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9">SUM(G441,G447,G449,G455,G457,G459,G461)</f>
        <v>10.170785808506004</v>
      </c>
      <c r="H440" s="1">
        <f t="shared" si="449"/>
        <v>9.4864742993489983</v>
      </c>
      <c r="I440" s="1">
        <f t="shared" si="449"/>
        <v>8.0896231356660397</v>
      </c>
      <c r="J440" s="1">
        <f t="shared" si="449"/>
        <v>10.520171325711523</v>
      </c>
      <c r="K440" s="1">
        <f t="shared" si="449"/>
        <v>9.0210401916944996</v>
      </c>
      <c r="L440" s="1">
        <f t="shared" ref="L440" si="450">SUM(L441,L447,L449,L455,L457,L459,L461)</f>
        <v>9.153549842199542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51">+G442</f>
        <v>2.6131853661727718</v>
      </c>
      <c r="H441" s="1">
        <f t="shared" si="451"/>
        <v>2.3689264235016441</v>
      </c>
      <c r="I441" s="1">
        <f t="shared" si="451"/>
        <v>2.3679140291548419</v>
      </c>
      <c r="J441" s="1">
        <f t="shared" si="451"/>
        <v>2.3678992949666906</v>
      </c>
      <c r="K441" s="1">
        <f t="shared" si="451"/>
        <v>2.3678998579911541</v>
      </c>
      <c r="L441" s="1">
        <f t="shared" si="451"/>
        <v>2.367900480621898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52">SUM(G444:G446)</f>
        <v>2.6131853661727718</v>
      </c>
      <c r="H442" s="1">
        <f t="shared" si="452"/>
        <v>2.3689264235016441</v>
      </c>
      <c r="I442" s="1">
        <f t="shared" si="452"/>
        <v>2.3679140291548419</v>
      </c>
      <c r="J442" s="1">
        <f t="shared" si="452"/>
        <v>2.3678992949666906</v>
      </c>
      <c r="K442" s="1">
        <f t="shared" si="452"/>
        <v>2.3678998579911541</v>
      </c>
      <c r="L442" s="1">
        <f t="shared" ref="L442" si="453">SUM(L444:L446)</f>
        <v>2.367900480621898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54">G444</f>
        <v>0.24528279535584216</v>
      </c>
      <c r="H443" s="1">
        <f t="shared" si="454"/>
        <v>1.0198577568946892E-3</v>
      </c>
      <c r="I443" s="1">
        <f t="shared" si="454"/>
        <v>0</v>
      </c>
      <c r="J443" s="1">
        <f t="shared" si="454"/>
        <v>0</v>
      </c>
      <c r="K443" s="1">
        <f t="shared" si="454"/>
        <v>0</v>
      </c>
      <c r="L443" s="1">
        <f t="shared" si="454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55">G446</f>
        <v>1.1839512854084648</v>
      </c>
      <c r="H445" s="1">
        <f t="shared" si="455"/>
        <v>1.1839532828723747</v>
      </c>
      <c r="I445" s="1">
        <f t="shared" si="455"/>
        <v>1.183957014577421</v>
      </c>
      <c r="J445" s="1">
        <f t="shared" si="455"/>
        <v>1.1839496474833453</v>
      </c>
      <c r="K445" s="1">
        <f t="shared" si="455"/>
        <v>1.1839499289955771</v>
      </c>
      <c r="L445" s="1">
        <f t="shared" si="455"/>
        <v>1.183950240310949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1.1839496474833453</v>
      </c>
      <c r="K446" s="1">
        <f>'[2]Electricity and CHPs_IN'!G$91</f>
        <v>1.1839499289955771</v>
      </c>
      <c r="L446" s="1">
        <f>'[2]Electricity and CHPs_IN'!H$91</f>
        <v>1.183950240310949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56">G448</f>
        <v>3.8018072493950106</v>
      </c>
      <c r="H447" s="1">
        <f t="shared" si="456"/>
        <v>3.5280786039863865</v>
      </c>
      <c r="I447" s="1">
        <f t="shared" si="456"/>
        <v>1.0609162088239694</v>
      </c>
      <c r="J447" s="1">
        <f t="shared" si="456"/>
        <v>0.65017093626416456</v>
      </c>
      <c r="K447" s="1">
        <f t="shared" si="456"/>
        <v>0</v>
      </c>
      <c r="L447" s="1">
        <f t="shared" si="456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0.65017093626416456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7">G450</f>
        <v>0.21740010386533087</v>
      </c>
      <c r="H449" s="1">
        <f t="shared" si="457"/>
        <v>0.21673522869909792</v>
      </c>
      <c r="I449" s="1">
        <f t="shared" si="457"/>
        <v>0.21645742130638385</v>
      </c>
      <c r="J449" s="1">
        <f t="shared" si="457"/>
        <v>0.16712843987065742</v>
      </c>
      <c r="K449" s="1">
        <f t="shared" si="457"/>
        <v>1.7890899287195637E-5</v>
      </c>
      <c r="L449" s="1">
        <f t="shared" si="457"/>
        <v>0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0.16712843987065742</v>
      </c>
      <c r="K450" s="1">
        <f>'[2]Electricity and CHPs_IN'!G$93</f>
        <v>1.7890899287195637E-5</v>
      </c>
      <c r="L450" s="1">
        <f>'[2]Electricity and CHPs_IN'!H$93</f>
        <v>0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8">G452</f>
        <v>0.21740010386533087</v>
      </c>
      <c r="H451" s="1">
        <f t="shared" si="458"/>
        <v>0.21673522869909792</v>
      </c>
      <c r="I451" s="1">
        <f t="shared" si="458"/>
        <v>0.21645742130638385</v>
      </c>
      <c r="J451" s="1">
        <f t="shared" si="458"/>
        <v>0.16712843987065742</v>
      </c>
      <c r="K451" s="1">
        <f t="shared" si="458"/>
        <v>1.7890899287195637E-5</v>
      </c>
      <c r="L451" s="1">
        <f t="shared" si="458"/>
        <v>0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9">G450</f>
        <v>0.21740010386533087</v>
      </c>
      <c r="H452" s="1">
        <f t="shared" si="459"/>
        <v>0.21673522869909792</v>
      </c>
      <c r="I452" s="1">
        <f t="shared" si="459"/>
        <v>0.21645742130638385</v>
      </c>
      <c r="J452" s="1">
        <f t="shared" si="459"/>
        <v>0.16712843987065742</v>
      </c>
      <c r="K452" s="1">
        <f t="shared" si="459"/>
        <v>1.7890899287195637E-5</v>
      </c>
      <c r="L452" s="1">
        <f t="shared" ref="L452" si="460">L450</f>
        <v>0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62">G456</f>
        <v>1.57801770424623</v>
      </c>
      <c r="H455" s="1">
        <f t="shared" si="462"/>
        <v>1.3529567421906554</v>
      </c>
      <c r="I455" s="1">
        <f t="shared" si="462"/>
        <v>1.0468959242165832</v>
      </c>
      <c r="J455" s="1">
        <f t="shared" si="462"/>
        <v>3.8092071831796401</v>
      </c>
      <c r="K455" s="1">
        <f t="shared" si="462"/>
        <v>2.9474931003337317</v>
      </c>
      <c r="L455" s="1">
        <f t="shared" si="462"/>
        <v>2.6923314012781252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3.8092071831796401</v>
      </c>
      <c r="K456" s="1">
        <f>'[2]Electricity and CHPs_IN'!G$94</f>
        <v>2.9474931003337317</v>
      </c>
      <c r="L456" s="1">
        <f>'[2]Electricity and CHPs_IN'!H$94</f>
        <v>2.6923314012781252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1.3136463048959627E-4</v>
      </c>
      <c r="J457" s="1">
        <f t="shared" si="463"/>
        <v>1.0318071884145141E-5</v>
      </c>
      <c r="K457" s="1">
        <f t="shared" si="463"/>
        <v>1.0412957565299065E-5</v>
      </c>
      <c r="L457" s="1">
        <f t="shared" si="463"/>
        <v>1.0402436312850964E-5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1.0318071884145141E-5</v>
      </c>
      <c r="K458" s="1">
        <f>'[2]Electricity and CHPs_IN'!G$95</f>
        <v>1.0412957565299065E-5</v>
      </c>
      <c r="L458" s="1">
        <f>'[2]Electricity and CHPs_IN'!H$95</f>
        <v>1.0402436312850964E-5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1.4795197754752449E-5</v>
      </c>
      <c r="L459" s="1">
        <f t="shared" si="464"/>
        <v>1.5195865446727074E-5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1.4795197754752449E-5</v>
      </c>
      <c r="L460" s="1">
        <f>'[2]Electricity and CHPs_IN'!H$96</f>
        <v>1.5195865446727074E-5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1.9603753848266612</v>
      </c>
      <c r="H461" s="1">
        <f>H462</f>
        <v>2.0197773009712137</v>
      </c>
      <c r="I461" s="1">
        <f t="shared" ref="I461" si="466">I462</f>
        <v>3.397308187533771</v>
      </c>
      <c r="J461" s="1">
        <f t="shared" ref="J461" si="467">J462</f>
        <v>3.5257551533584857</v>
      </c>
      <c r="K461" s="1">
        <f t="shared" ref="K461:L461" si="468">K462</f>
        <v>3.7056041343150059</v>
      </c>
      <c r="L461" s="1">
        <f t="shared" si="468"/>
        <v>4.0932923619977588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3.5257551533584857</v>
      </c>
      <c r="K462" s="1">
        <f>'[2]Electricity and CHPs_IN'!G$97</f>
        <v>3.7056041343150059</v>
      </c>
      <c r="L462" s="1">
        <f>'[2]Electricity and CHPs_IN'!H$97</f>
        <v>4.0932923619977588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9">SUM(G464,G470,G503,G512,G518)</f>
        <v>8.7024889062362814</v>
      </c>
      <c r="H463" s="1">
        <f t="shared" si="469"/>
        <v>6.5693531757753654</v>
      </c>
      <c r="I463" s="1">
        <f t="shared" si="469"/>
        <v>6.9133060006358518</v>
      </c>
      <c r="J463" s="1">
        <f t="shared" si="469"/>
        <v>8.5502505500966866</v>
      </c>
      <c r="K463" s="1">
        <f t="shared" si="469"/>
        <v>10.525934891059142</v>
      </c>
      <c r="L463" s="1">
        <f t="shared" ref="L463" si="470">SUM(L464,L470,L503,L512,L518)</f>
        <v>18.143704094070866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71">+G465</f>
        <v>0.64142097651939134</v>
      </c>
      <c r="H464" s="1">
        <f t="shared" si="471"/>
        <v>0.50603404188295353</v>
      </c>
      <c r="I464" s="1">
        <f t="shared" si="471"/>
        <v>0.57113023973417731</v>
      </c>
      <c r="J464" s="1">
        <f t="shared" si="471"/>
        <v>0.54183869005085961</v>
      </c>
      <c r="K464" s="1">
        <f t="shared" si="471"/>
        <v>0</v>
      </c>
      <c r="L464" s="1">
        <f t="shared" si="471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0.54183869005085961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72">G467</f>
        <v>0.64142097651939134</v>
      </c>
      <c r="H466" s="1">
        <f t="shared" si="472"/>
        <v>0.50603404188295353</v>
      </c>
      <c r="I466" s="1">
        <f t="shared" si="472"/>
        <v>0.57113023973417731</v>
      </c>
      <c r="J466" s="1">
        <f t="shared" si="472"/>
        <v>0.54183869005085961</v>
      </c>
      <c r="K466" s="1">
        <f t="shared" si="472"/>
        <v>0</v>
      </c>
      <c r="L466" s="1">
        <f t="shared" si="472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73">G465-G469</f>
        <v>0.64142097651939134</v>
      </c>
      <c r="H467" s="1">
        <f t="shared" si="473"/>
        <v>0.50603404188295353</v>
      </c>
      <c r="I467" s="1">
        <f t="shared" si="473"/>
        <v>0.57113023973417731</v>
      </c>
      <c r="J467" s="1">
        <f t="shared" si="473"/>
        <v>0.54183869005085961</v>
      </c>
      <c r="K467" s="1">
        <f t="shared" si="473"/>
        <v>0</v>
      </c>
      <c r="L467" s="1">
        <f t="shared" ref="L467" si="474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8">SUM(G471:G480)</f>
        <v>2.9616842738433915</v>
      </c>
      <c r="H470" s="1">
        <f t="shared" si="478"/>
        <v>2.8117535644201452</v>
      </c>
      <c r="I470" s="1">
        <f t="shared" si="478"/>
        <v>2.6193564329391177</v>
      </c>
      <c r="J470" s="1">
        <f t="shared" si="478"/>
        <v>3.0254529610302305</v>
      </c>
      <c r="K470" s="1">
        <f t="shared" si="478"/>
        <v>3.149644968618472</v>
      </c>
      <c r="L470" s="1">
        <f t="shared" ref="L470" si="479">SUM(L471:L480)</f>
        <v>2.7848015852992498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0.40003916117199734</v>
      </c>
      <c r="K471" s="1">
        <f>'[2]Electricity and CHPs_IN'!G$39-K316</f>
        <v>0.99246954475987936</v>
      </c>
      <c r="L471" s="1">
        <f>'[2]Electricity and CHPs_IN'!H$39-L316</f>
        <v>1.0187134510032747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1.2322553090878742E-3</v>
      </c>
      <c r="L472" s="6">
        <f>'[2]Electricity and CHPs_IN'!H$40-L317</f>
        <v>0.39848238262615265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'[1]Electricity and CHPs_IN'!E$48-I319</f>
        <v>0</v>
      </c>
      <c r="J474" s="1">
        <f>'[2]Electricity and CHPs_IN'!F$48-J319</f>
        <v>1.6576498653366148E-2</v>
      </c>
      <c r="K474" s="1">
        <f>'[2]Electricity and CHPs_IN'!G$48-K319</f>
        <v>6.3248642066217556E-3</v>
      </c>
      <c r="L474" s="1">
        <f>'[2]Electricity and CHPs_IN'!H$48-L319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0.75341884195069342</v>
      </c>
      <c r="K476" s="1">
        <f>'[2]Electricity and CHPs_IN'!G$51-K321</f>
        <v>0.34461586467900235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1.5338961673518603</v>
      </c>
      <c r="K478" s="1">
        <f>'[2]Electricity and CHPs_IN'!G$54-K323</f>
        <v>1.4048582719969283</v>
      </c>
      <c r="L478" s="1">
        <f>'[2]Electricity and CHPs_IN'!H$54-L323</f>
        <v>1.3676057516698228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0.32152229190231341</v>
      </c>
      <c r="K479" s="1">
        <f>'[2]Electricity and CHPs_IN'!G$55-K324</f>
        <v>0.40014416766695232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80">SUM(G482:G491)</f>
        <v>1.1230957738919216</v>
      </c>
      <c r="H481" s="1">
        <f t="shared" si="480"/>
        <v>1.0102181241073986</v>
      </c>
      <c r="I481" s="1">
        <f t="shared" si="480"/>
        <v>0.87574050468069231</v>
      </c>
      <c r="J481" s="1">
        <f t="shared" si="480"/>
        <v>1.4144654971332626</v>
      </c>
      <c r="K481" s="1">
        <f t="shared" si="480"/>
        <v>1.4412803057668322</v>
      </c>
      <c r="L481" s="1">
        <f t="shared" ref="L481" si="481">SUM(L482:L491)</f>
        <v>0.3295069258870994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1.0043182241196882</v>
      </c>
      <c r="G482" s="1">
        <f t="shared" ref="G482:K482" si="483">G471-G493</f>
        <v>0.13164175974940862</v>
      </c>
      <c r="H482" s="1">
        <f t="shared" si="483"/>
        <v>0.76127438879831355</v>
      </c>
      <c r="I482" s="1">
        <f t="shared" si="483"/>
        <v>0.87574050468069231</v>
      </c>
      <c r="J482" s="1">
        <f t="shared" si="483"/>
        <v>0.37936308786773365</v>
      </c>
      <c r="K482" s="1">
        <f t="shared" si="483"/>
        <v>0.8198290436908674</v>
      </c>
      <c r="L482" s="1">
        <f t="shared" ref="L482" si="484">L471-L493</f>
        <v>0.23685727098157705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1.0179039719318804E-3</v>
      </c>
      <c r="L483" s="1">
        <f t="shared" ref="L483" si="486">L472-L494</f>
        <v>9.264965490552235E-2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5.5307136318817146E-2</v>
      </c>
      <c r="G485" s="1">
        <f t="shared" ref="G485:K485" si="489">G474-G496</f>
        <v>1.4194301078656577E-2</v>
      </c>
      <c r="H485" s="1">
        <f t="shared" si="489"/>
        <v>3.0481474725707957E-2</v>
      </c>
      <c r="I485" s="1">
        <f t="shared" si="489"/>
        <v>0</v>
      </c>
      <c r="J485" s="1">
        <f t="shared" si="489"/>
        <v>1.5719740279308697E-2</v>
      </c>
      <c r="K485" s="1">
        <f t="shared" si="489"/>
        <v>5.2246513773315404E-3</v>
      </c>
      <c r="L485" s="1">
        <f t="shared" ref="L485" si="490">L474-L496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8.3946235515698034E-2</v>
      </c>
      <c r="G487" s="1">
        <f t="shared" ref="G487:K487" si="493">G476-G498</f>
        <v>6.7725685438312519E-2</v>
      </c>
      <c r="H487" s="1">
        <f t="shared" si="493"/>
        <v>0.16677068429205938</v>
      </c>
      <c r="I487" s="1">
        <f t="shared" si="493"/>
        <v>0</v>
      </c>
      <c r="J487" s="1">
        <f t="shared" si="493"/>
        <v>0.71447829633173998</v>
      </c>
      <c r="K487" s="1">
        <f t="shared" si="493"/>
        <v>0.28466978787630504</v>
      </c>
      <c r="L487" s="1">
        <f t="shared" ref="L487" si="494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97">G479-G501</f>
        <v>0.90953402762554392</v>
      </c>
      <c r="H490" s="1">
        <f t="shared" si="497"/>
        <v>5.1691576291317813E-2</v>
      </c>
      <c r="I490" s="1">
        <f t="shared" si="497"/>
        <v>0</v>
      </c>
      <c r="J490" s="1">
        <f t="shared" si="497"/>
        <v>0.30490437265448039</v>
      </c>
      <c r="K490" s="1">
        <f t="shared" si="497"/>
        <v>0.33053891885039643</v>
      </c>
      <c r="L490" s="1">
        <f t="shared" ref="L490" si="498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0</v>
      </c>
      <c r="J491" s="1">
        <f t="shared" si="499"/>
        <v>0</v>
      </c>
      <c r="K491" s="1">
        <f t="shared" si="499"/>
        <v>0</v>
      </c>
      <c r="L491" s="1">
        <f t="shared" ref="L491" si="500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501">SUM(G493:G502)</f>
        <v>1.8385884999514701</v>
      </c>
      <c r="H492" s="1">
        <f t="shared" si="501"/>
        <v>1.8015354403127464</v>
      </c>
      <c r="I492" s="1">
        <f t="shared" si="501"/>
        <v>1.7436159282584254</v>
      </c>
      <c r="J492" s="1">
        <f t="shared" si="501"/>
        <v>1.6109874638969679</v>
      </c>
      <c r="K492" s="1">
        <f t="shared" si="501"/>
        <v>1.7083646628516398</v>
      </c>
      <c r="L492" s="1">
        <f t="shared" ref="L492" si="502">SUM(L493:L502)</f>
        <v>2.455294659412151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2.6658689553744286E-2</v>
      </c>
      <c r="G493" s="1">
        <f t="shared" ref="G493:K493" si="504">IFERROR(G348/G316,0)*G471</f>
        <v>5.5530520513407729E-3</v>
      </c>
      <c r="H493" s="1">
        <f t="shared" si="504"/>
        <v>4.3945885639476552E-2</v>
      </c>
      <c r="I493" s="1">
        <f t="shared" si="504"/>
        <v>9.135386416521353E-2</v>
      </c>
      <c r="J493" s="1">
        <f t="shared" si="504"/>
        <v>2.0676073304263694E-2</v>
      </c>
      <c r="K493" s="1">
        <f t="shared" si="504"/>
        <v>0.17264050106901196</v>
      </c>
      <c r="L493" s="1">
        <f t="shared" ref="L493" si="505">IFERROR(L348/L316,0)*L471</f>
        <v>0.78185618002169766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2.1435133715599395E-4</v>
      </c>
      <c r="L494" s="1">
        <f t="shared" ref="L494" si="507">IFERROR(L349/L317,0)*L472</f>
        <v>0.3058327277206303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1.4680762947643657E-3</v>
      </c>
      <c r="G496" s="1">
        <f t="shared" ref="G496:K496" si="510">IFERROR(G351/G319,0)*G474</f>
        <v>5.9875903263695491E-4</v>
      </c>
      <c r="H496" s="1">
        <f t="shared" si="510"/>
        <v>1.7595960433307619E-3</v>
      </c>
      <c r="I496" s="1">
        <f t="shared" si="510"/>
        <v>0</v>
      </c>
      <c r="J496" s="1">
        <f t="shared" si="510"/>
        <v>8.567583740574507E-4</v>
      </c>
      <c r="K496" s="1">
        <f t="shared" si="510"/>
        <v>1.1002128292902152E-3</v>
      </c>
      <c r="L496" s="1">
        <f t="shared" ref="L496" si="511">IFERROR(L351/L319,0)*L474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2.2282744433718494E-3</v>
      </c>
      <c r="G498" s="1">
        <f t="shared" ref="G498:K498" si="514">IFERROR(G353/G321,0)*G476</f>
        <v>2.856876550173667E-3</v>
      </c>
      <c r="H498" s="1">
        <f t="shared" si="514"/>
        <v>9.627127258917614E-3</v>
      </c>
      <c r="I498" s="1">
        <f t="shared" si="514"/>
        <v>0</v>
      </c>
      <c r="J498" s="1">
        <f t="shared" si="514"/>
        <v>3.8940545618953416E-2</v>
      </c>
      <c r="K498" s="1">
        <f t="shared" si="514"/>
        <v>5.9946076802697305E-2</v>
      </c>
      <c r="L498" s="1">
        <f t="shared" ref="L498" si="515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18">G478</f>
        <v>1.7912128852306202</v>
      </c>
      <c r="H500" s="1">
        <f t="shared" si="518"/>
        <v>1.7432188453948108</v>
      </c>
      <c r="I500" s="1">
        <f t="shared" si="518"/>
        <v>1.6522620640932117</v>
      </c>
      <c r="J500" s="1">
        <f t="shared" si="518"/>
        <v>1.5338961673518603</v>
      </c>
      <c r="K500" s="1">
        <f t="shared" si="518"/>
        <v>1.4048582719969283</v>
      </c>
      <c r="L500" s="1">
        <f t="shared" ref="L500" si="519">L478</f>
        <v>1.3676057516698228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20">IFERROR(G356/G324,0)*G479</f>
        <v>3.8366927086698616E-2</v>
      </c>
      <c r="H501" s="1">
        <f t="shared" si="520"/>
        <v>2.9839859762106841E-3</v>
      </c>
      <c r="I501" s="1">
        <f t="shared" si="520"/>
        <v>0</v>
      </c>
      <c r="J501" s="1">
        <f t="shared" si="520"/>
        <v>1.6617919247833037E-2</v>
      </c>
      <c r="K501" s="1">
        <f t="shared" si="520"/>
        <v>6.9605248816555901E-2</v>
      </c>
      <c r="L501" s="1">
        <f t="shared" ref="L501" si="521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0</v>
      </c>
      <c r="J502" s="1">
        <f t="shared" si="522"/>
        <v>0</v>
      </c>
      <c r="K502" s="1">
        <f t="shared" si="522"/>
        <v>0</v>
      </c>
      <c r="L502" s="1">
        <f t="shared" ref="L502" si="523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24">SUM(G504:G505)</f>
        <v>3.3046591233801537</v>
      </c>
      <c r="H503" s="1">
        <f t="shared" si="524"/>
        <v>1.809036321342589E-2</v>
      </c>
      <c r="I503" s="1">
        <f t="shared" si="524"/>
        <v>1.8357233855824023E-2</v>
      </c>
      <c r="J503" s="1">
        <f t="shared" si="524"/>
        <v>2.1260869479773413E-3</v>
      </c>
      <c r="K503" s="1">
        <f t="shared" si="524"/>
        <v>4.5335664113159008E-3</v>
      </c>
      <c r="L503" s="1">
        <f t="shared" ref="L503" si="525">SUM(L504:L505)</f>
        <v>5.2312974454856862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2.1260869479773413E-3</v>
      </c>
      <c r="K504" s="6">
        <f>'[2]Electricity and CHPs_IN'!G$44-K363</f>
        <v>3.2380147931330393E-3</v>
      </c>
      <c r="L504" s="6">
        <f>'[2]Electricity and CHPs_IN'!H$44-L363</f>
        <v>1.4637926324835077E-4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1.2955516181828615E-3</v>
      </c>
      <c r="L505" s="1">
        <f>'[2]Electricity and CHPs_IN'!H$45</f>
        <v>5.2311510662224379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28">SUM(G510:G511)</f>
        <v>3.3046591233801537</v>
      </c>
      <c r="H509" s="1">
        <f t="shared" si="528"/>
        <v>1.809036321342589E-2</v>
      </c>
      <c r="I509" s="1">
        <f t="shared" si="528"/>
        <v>1.8357233855824023E-2</v>
      </c>
      <c r="J509" s="1">
        <f t="shared" si="528"/>
        <v>2.1260869479773413E-3</v>
      </c>
      <c r="K509" s="1">
        <f t="shared" si="528"/>
        <v>4.5335664113159008E-3</v>
      </c>
      <c r="L509" s="1">
        <f t="shared" ref="L509" si="529">SUM(L510:L511)</f>
        <v>5.2312974454856862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30">G504</f>
        <v>3.3046591233801537</v>
      </c>
      <c r="H510" s="1">
        <f t="shared" si="530"/>
        <v>1.809036321342589E-2</v>
      </c>
      <c r="I510" s="1">
        <f t="shared" si="530"/>
        <v>1.8357233855824023E-2</v>
      </c>
      <c r="J510" s="1">
        <f t="shared" si="530"/>
        <v>2.1260869479773413E-3</v>
      </c>
      <c r="K510" s="1">
        <f t="shared" si="530"/>
        <v>3.2380147931330393E-3</v>
      </c>
      <c r="L510" s="1">
        <f t="shared" ref="L510" si="531">L504</f>
        <v>1.4637926324835077E-4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1.2955516181828615E-3</v>
      </c>
      <c r="L511" s="1">
        <f t="shared" ref="L511" si="533">L505</f>
        <v>5.2311510662224379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34">SUM(G513:G517)</f>
        <v>1.7947245324933443</v>
      </c>
      <c r="H512" s="1">
        <f t="shared" si="534"/>
        <v>3.2334752062588406</v>
      </c>
      <c r="I512" s="1">
        <f t="shared" si="534"/>
        <v>3.6718283965930141</v>
      </c>
      <c r="J512" s="1">
        <f t="shared" si="534"/>
        <v>4.9787575208424464</v>
      </c>
      <c r="K512" s="1">
        <f t="shared" si="534"/>
        <v>7.3528279625442821</v>
      </c>
      <c r="L512" s="1">
        <f t="shared" ref="L512" si="535">SUM(L513:L517)</f>
        <v>8.8421567743083962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4.9694317287983489</v>
      </c>
      <c r="K513" s="6">
        <f>'[2]Electricity and CHPs_IN'!G$42-K382</f>
        <v>3.4105565729068728</v>
      </c>
      <c r="L513" s="6">
        <f>'[2]Electricity and CHPs_IN'!H$42-L382</f>
        <v>2.6928523477979067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2.9871481703520724</v>
      </c>
      <c r="L514" s="1">
        <f>'[2]Electricity and CHPs_IN'!H$43-L383</f>
        <v>5.4859884556354803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1.0047966360734043E-3</v>
      </c>
      <c r="K515" s="1">
        <f>'[2]Electricity and CHPs_IN'!G$50-K384</f>
        <v>1.1370234811862146E-3</v>
      </c>
      <c r="L515" s="1">
        <f>'[2]Electricity and CHPs_IN'!H$50-L384</f>
        <v>4.5594935598212494E-4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8.0801639059008955E-3</v>
      </c>
      <c r="K516" s="1">
        <f>'[2]Electricity and CHPs_IN'!G$53-K385</f>
        <v>0.95364134904464537</v>
      </c>
      <c r="L516" s="1">
        <f>'[2]Electricity and CHPs_IN'!H$53-L385</f>
        <v>0.6627712063693697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2.4083150212331217E-4</v>
      </c>
      <c r="K517" s="1">
        <f>'[2]Electricity and CHPs_IN'!G$56-K386</f>
        <v>3.4484675950542665E-4</v>
      </c>
      <c r="L517" s="1">
        <f>'[2]Electricity and CHPs_IN'!H$56-L386</f>
        <v>8.8815149658272993E-5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3.263369751371923E-2</v>
      </c>
      <c r="J518" s="1">
        <f t="shared" si="536"/>
        <v>2.0752912251728222E-3</v>
      </c>
      <c r="K518" s="1">
        <f t="shared" si="536"/>
        <v>1.8928393485073532E-2</v>
      </c>
      <c r="L518" s="1">
        <f t="shared" ref="L518" si="537">SUM(L519:L520)</f>
        <v>1.2854482889775338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1.69079361401852E-3</v>
      </c>
      <c r="K519" s="1">
        <f>'[2]Electricity and CHPs_IN'!G$46-K399</f>
        <v>5.0526427417497983E-3</v>
      </c>
      <c r="L519" s="1">
        <f>'[2]Electricity and CHPs_IN'!H$46-L399</f>
        <v>1.2675202146568472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3.84497611154302E-4</v>
      </c>
      <c r="K520" s="1">
        <f>'[2]Electricity and CHPs_IN'!G$57-K400</f>
        <v>1.3875750743323735E-2</v>
      </c>
      <c r="L520" s="1">
        <f>'[2]Electricity and CHPs_IN'!H$57-L400</f>
        <v>1.7928074320686632E-2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0.32978920057280486</v>
      </c>
      <c r="G522" s="13">
        <f t="shared" si="538"/>
        <v>0.32672722876215615</v>
      </c>
      <c r="H522" s="13">
        <f t="shared" si="538"/>
        <v>0.32668216507005088</v>
      </c>
      <c r="I522" s="13">
        <f t="shared" si="538"/>
        <v>0.33003793269028431</v>
      </c>
      <c r="J522" s="13">
        <f t="shared" si="538"/>
        <v>0.33041908101279427</v>
      </c>
      <c r="K522" s="13">
        <f t="shared" si="538"/>
        <v>0.33170584005147585</v>
      </c>
      <c r="L522" s="13" t="str">
        <f t="shared" ref="L522" si="539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0.79999995308176319</v>
      </c>
      <c r="G525" s="13">
        <f t="shared" si="540"/>
        <v>0.79999995286671421</v>
      </c>
      <c r="H525" s="13">
        <f t="shared" si="540"/>
        <v>0.79999983711874434</v>
      </c>
      <c r="I525" s="13">
        <f t="shared" si="540"/>
        <v>0.80000003770522066</v>
      </c>
      <c r="J525" s="13">
        <f t="shared" si="540"/>
        <v>0.80000000042065422</v>
      </c>
      <c r="K525" s="13">
        <f t="shared" si="540"/>
        <v>0.8000000003899802</v>
      </c>
      <c r="L525" s="13">
        <f t="shared" ref="L525" si="543">IFERROR(L69/L297,"-")</f>
        <v>0.80000000042469321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44">IFERROR(G71/G299,"-")</f>
        <v>0.10791175560789287</v>
      </c>
      <c r="H526" s="13">
        <f t="shared" si="544"/>
        <v>0.29772171819813503</v>
      </c>
      <c r="I526" s="13">
        <f t="shared" si="544"/>
        <v>0.25029107707271042</v>
      </c>
      <c r="J526" s="13">
        <f t="shared" si="544"/>
        <v>0.29903477952115426</v>
      </c>
      <c r="K526" s="13">
        <f t="shared" si="544"/>
        <v>0.32673328662140017</v>
      </c>
      <c r="L526" s="13" t="str">
        <f t="shared" ref="L526" si="545">IFERROR(L71/L299,"-")</f>
        <v>-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46">IFERROR(G72/(G300+G413),"-")</f>
        <v>5.7766042198366535E-2</v>
      </c>
      <c r="H527" s="13">
        <f t="shared" si="546"/>
        <v>9.2752744213654259E-2</v>
      </c>
      <c r="I527" s="13">
        <f t="shared" si="546"/>
        <v>0.10062180119224279</v>
      </c>
      <c r="J527" s="13">
        <f t="shared" si="546"/>
        <v>0.10274322870418906</v>
      </c>
      <c r="K527" s="13">
        <f t="shared" si="546"/>
        <v>0.1162720590987552</v>
      </c>
      <c r="L527" s="13" t="str">
        <f t="shared" ref="L527" si="547">IFERROR(L72/(L300+L413),"-")</f>
        <v>-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48">IFERROR(G73/(G301+G465),"-")</f>
        <v>0.24659578146445743</v>
      </c>
      <c r="H528" s="13">
        <f t="shared" si="548"/>
        <v>0.25245366726988605</v>
      </c>
      <c r="I528" s="13">
        <f t="shared" si="548"/>
        <v>0.26330320021901615</v>
      </c>
      <c r="J528" s="13">
        <f t="shared" si="548"/>
        <v>0.26329829038348618</v>
      </c>
      <c r="K528" s="13" t="str">
        <f t="shared" si="548"/>
        <v>-</v>
      </c>
      <c r="L528" s="13" t="str">
        <f t="shared" ref="L528" si="549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 t="str">
        <f t="shared" si="550"/>
        <v>-</v>
      </c>
      <c r="L529" s="13">
        <f t="shared" ref="L529" si="551">IFERROR(L83/L311,"-")</f>
        <v>0.6239003801353028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 t="str">
        <f t="shared" si="552"/>
        <v>-</v>
      </c>
      <c r="J530" s="13" t="str">
        <f t="shared" si="552"/>
        <v>-</v>
      </c>
      <c r="K530" s="13" t="str">
        <f t="shared" si="552"/>
        <v>-</v>
      </c>
      <c r="L530" s="13">
        <f t="shared" ref="L530" si="553">IFERROR(L84/L312,"-")</f>
        <v>0.41957577177493161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 t="str">
        <f t="shared" si="554"/>
        <v>-</v>
      </c>
      <c r="L531" s="13" t="str">
        <f t="shared" ref="L531" si="555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56">IFERROR(G86/SUM(G314,G419),"-")</f>
        <v>0.21606189480329571</v>
      </c>
      <c r="H532" s="13">
        <f t="shared" si="556"/>
        <v>0.20409043846511121</v>
      </c>
      <c r="I532" s="13" t="str">
        <f t="shared" si="556"/>
        <v>-</v>
      </c>
      <c r="J532" s="13" t="str">
        <f t="shared" si="556"/>
        <v>-</v>
      </c>
      <c r="K532" s="13" t="str">
        <f t="shared" si="556"/>
        <v>-</v>
      </c>
      <c r="L532" s="13" t="str">
        <f t="shared" ref="L532" si="557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 t="str">
        <f t="shared" si="558"/>
        <v>-</v>
      </c>
      <c r="L533" s="13" t="str">
        <f t="shared" ref="L533" si="559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60">IFERROR(G88/SUM(G316,G471),"-'")</f>
        <v>0.35166990461557723</v>
      </c>
      <c r="H534" s="13">
        <f t="shared" si="560"/>
        <v>0.35473332224832471</v>
      </c>
      <c r="I534" s="13">
        <f t="shared" si="560"/>
        <v>0.35996342567048906</v>
      </c>
      <c r="J534" s="13">
        <f t="shared" si="560"/>
        <v>0.35864115601986241</v>
      </c>
      <c r="K534" s="13">
        <f t="shared" si="560"/>
        <v>0.35793941399966878</v>
      </c>
      <c r="L534" s="13">
        <f t="shared" ref="L534" si="561">IFERROR(L88/SUM(L316,L471),"-'")</f>
        <v>0.2187038692598624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0.31245754891991145</v>
      </c>
      <c r="L535" s="13">
        <f t="shared" ref="L535" si="564">IFERROR(L89/SUM(L317,L472),"-")</f>
        <v>0.32327386502557387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0.20157354465181296</v>
      </c>
      <c r="G537" s="13">
        <f t="shared" ref="G537:K537" si="567">IFERROR(G91/SUM(G319,G474),"-")</f>
        <v>0.26138603832575424</v>
      </c>
      <c r="H537" s="13">
        <f t="shared" si="567"/>
        <v>0.22623422694327444</v>
      </c>
      <c r="I537" s="13" t="str">
        <f t="shared" si="567"/>
        <v>-</v>
      </c>
      <c r="J537" s="13">
        <f t="shared" si="567"/>
        <v>0.27576378881785585</v>
      </c>
      <c r="K537" s="13">
        <f t="shared" si="567"/>
        <v>0.27631509118251446</v>
      </c>
      <c r="L537" s="13" t="str">
        <f t="shared" ref="L537" si="568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 t="str">
        <f t="shared" si="569"/>
        <v>-</v>
      </c>
      <c r="J538" s="13" t="str">
        <f t="shared" si="569"/>
        <v>-</v>
      </c>
      <c r="K538" s="13" t="str">
        <f t="shared" si="569"/>
        <v>-</v>
      </c>
      <c r="L538" s="13" t="str">
        <f t="shared" ref="L538" si="570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0.23793531127233153</v>
      </c>
      <c r="G539" s="13">
        <f t="shared" ref="G539:K539" si="571">IFERROR(G93/SUM(G321,G476),"-")</f>
        <v>0.29065252291024024</v>
      </c>
      <c r="H539" s="13">
        <f t="shared" si="571"/>
        <v>0.27904374303757856</v>
      </c>
      <c r="I539" s="13" t="str">
        <f t="shared" si="571"/>
        <v>-</v>
      </c>
      <c r="J539" s="13">
        <f t="shared" si="571"/>
        <v>0.30156491595825352</v>
      </c>
      <c r="K539" s="13">
        <f t="shared" si="571"/>
        <v>0.30366801207455552</v>
      </c>
      <c r="L539" s="13" t="str">
        <f t="shared" ref="L539" si="572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 t="str">
        <f t="shared" si="573"/>
        <v>-</v>
      </c>
      <c r="J540" s="13" t="str">
        <f t="shared" si="573"/>
        <v>-</v>
      </c>
      <c r="K540" s="13" t="str">
        <f t="shared" si="573"/>
        <v>-</v>
      </c>
      <c r="L540" s="13" t="str">
        <f t="shared" ref="L540" si="574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0.36265575525281818</v>
      </c>
      <c r="G541" s="13">
        <f t="shared" ref="G541:K541" si="575">IFERROR(G95/SUM(G323,G478),"-")</f>
        <v>0.36305008465980443</v>
      </c>
      <c r="H541" s="13">
        <f t="shared" si="575"/>
        <v>0.3634125055675182</v>
      </c>
      <c r="I541" s="13">
        <f t="shared" si="575"/>
        <v>0.36470896589470053</v>
      </c>
      <c r="J541" s="13">
        <f t="shared" si="575"/>
        <v>0.36986056798053019</v>
      </c>
      <c r="K541" s="13">
        <f t="shared" si="575"/>
        <v>0.37496700110955788</v>
      </c>
      <c r="L541" s="13">
        <f t="shared" ref="L541" si="576">IFERROR(L95/SUM(L323,L478),"-")</f>
        <v>0.38518078430160202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0.35567479556845127</v>
      </c>
      <c r="G542" s="13">
        <f t="shared" ref="G542:K542" si="577">IFERROR(G96/SUM(G324,G479),"-")</f>
        <v>0.35998241394898939</v>
      </c>
      <c r="H542" s="13">
        <f t="shared" si="577"/>
        <v>0.35030438038798928</v>
      </c>
      <c r="I542" s="13" t="str">
        <f t="shared" si="577"/>
        <v>-</v>
      </c>
      <c r="J542" s="13">
        <f t="shared" si="577"/>
        <v>0.35950363420508225</v>
      </c>
      <c r="K542" s="13">
        <f t="shared" si="577"/>
        <v>0.35995327631785168</v>
      </c>
      <c r="L542" s="13" t="str">
        <f t="shared" ref="L542" si="578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 t="str">
        <f t="shared" si="579"/>
        <v>-</v>
      </c>
      <c r="J543" s="13" t="str">
        <f t="shared" si="579"/>
        <v>-</v>
      </c>
      <c r="K543" s="13" t="str">
        <f t="shared" si="579"/>
        <v>-</v>
      </c>
      <c r="L543" s="13" t="str">
        <f t="shared" ref="L543" si="580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81">IFERROR(G131/G359,"-")</f>
        <v>0.35745695376016573</v>
      </c>
      <c r="H544" s="13">
        <f t="shared" si="581"/>
        <v>0.35745695376016601</v>
      </c>
      <c r="I544" s="13">
        <f t="shared" si="581"/>
        <v>0.35745695376016617</v>
      </c>
      <c r="J544" s="13">
        <f t="shared" si="581"/>
        <v>0.35745695376016623</v>
      </c>
      <c r="K544" s="13">
        <f t="shared" si="581"/>
        <v>0.35745695376016562</v>
      </c>
      <c r="L544" s="13">
        <f t="shared" ref="L544" si="582">IFERROR(L131/L359,"-")</f>
        <v>0.35745695376016584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>
        <f t="shared" si="583"/>
        <v>0.33470839322286916</v>
      </c>
      <c r="L545" s="13">
        <f t="shared" ref="L545" si="584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85">IFERROR(G133/SUM(G361,G428),"-")</f>
        <v>3.7422667137767492E-2</v>
      </c>
      <c r="H546" s="13">
        <f t="shared" si="585"/>
        <v>3.7004897388469848E-2</v>
      </c>
      <c r="I546" s="13">
        <f t="shared" si="585"/>
        <v>3.622130913238452E-2</v>
      </c>
      <c r="J546" s="13">
        <f t="shared" si="585"/>
        <v>3.5304499289559567E-2</v>
      </c>
      <c r="K546" s="13">
        <f t="shared" si="585"/>
        <v>3.2418311262300555E-2</v>
      </c>
      <c r="L546" s="13">
        <f t="shared" ref="L546" si="586">IFERROR(L133/SUM(L361,L428),"-")</f>
        <v>1.1632301657571653E-2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>
        <f t="shared" si="587"/>
        <v>4.8242849883234837E-2</v>
      </c>
      <c r="L547" s="13">
        <f t="shared" ref="L547" si="588">IFERROR(L134/SUM(L362,L429),"-")</f>
        <v>5.4000000000000034E-2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89">IFERROR(G135/SUM(G363,G504),"-")</f>
        <v>6.1972862719976235E-2</v>
      </c>
      <c r="H548" s="13">
        <f t="shared" si="589"/>
        <v>6.1972650567355327E-2</v>
      </c>
      <c r="I548" s="13">
        <f t="shared" si="589"/>
        <v>6.1972650567355278E-2</v>
      </c>
      <c r="J548" s="13">
        <f t="shared" si="589"/>
        <v>6.197265056735525E-2</v>
      </c>
      <c r="K548" s="13">
        <f t="shared" si="589"/>
        <v>6.1972650567355257E-2</v>
      </c>
      <c r="L548" s="13">
        <f t="shared" ref="L548" si="590">IFERROR(L135/SUM(L363,L504),"-")</f>
        <v>6.1937791257098876E-2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>
        <f t="shared" si="591"/>
        <v>4.7880823847050454E-2</v>
      </c>
      <c r="L549" s="13">
        <f t="shared" ref="L549" si="592">IFERROR(L136/SUM(L364,L505),"-")</f>
        <v>4.5431760215214327E-2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93">IFERROR(G152/SUM(G380,G437),"-")</f>
        <v>0.24929676759835206</v>
      </c>
      <c r="H550" s="13">
        <f t="shared" si="593"/>
        <v>0.21831675863452615</v>
      </c>
      <c r="I550" s="13">
        <f t="shared" si="593"/>
        <v>0.27507047560271369</v>
      </c>
      <c r="J550" s="13">
        <f t="shared" si="593"/>
        <v>0.29059462383099299</v>
      </c>
      <c r="K550" s="13">
        <f t="shared" si="593"/>
        <v>0.30605019580527765</v>
      </c>
      <c r="L550" s="13">
        <f t="shared" ref="L550" si="594">IFERROR(L152/SUM(L380,L437),"-")</f>
        <v>0.30622974977959916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0.19735251931211495</v>
      </c>
      <c r="L551" s="13">
        <f t="shared" ref="L551" si="596">IFERROR(L153/L381,"-")</f>
        <v>0.25883701587369418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97">IFERROR(G154/SUM(G382,G513),"-")</f>
        <v>0.22581337511976751</v>
      </c>
      <c r="H552" s="13">
        <f t="shared" si="597"/>
        <v>0.26799914205896425</v>
      </c>
      <c r="I552" s="13">
        <f t="shared" si="597"/>
        <v>0.33850162957741597</v>
      </c>
      <c r="J552" s="13">
        <f t="shared" si="597"/>
        <v>0.3457702318322039</v>
      </c>
      <c r="K552" s="13">
        <f t="shared" si="597"/>
        <v>0.35258147172558163</v>
      </c>
      <c r="L552" s="13">
        <f t="shared" ref="L552" si="598">IFERROR(L154/SUM(L382,L513),"-")</f>
        <v>0.36742969603296111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0.33544890793026244</v>
      </c>
      <c r="L553" s="13">
        <f t="shared" ref="L553" si="600">IFERROR(L155/SUM(L383,L514),"-")</f>
        <v>0.34906272803149963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 t="str">
        <f t="shared" si="601"/>
        <v>-</v>
      </c>
      <c r="J554" s="13">
        <f t="shared" si="601"/>
        <v>0.2282196094233043</v>
      </c>
      <c r="K554" s="13">
        <f t="shared" si="601"/>
        <v>0.23065626330795327</v>
      </c>
      <c r="L554" s="13">
        <f t="shared" ref="L554" si="602">IFERROR(L156/SUM(L384,L515),"-")</f>
        <v>0.23776485400025174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 t="str">
        <f t="shared" si="603"/>
        <v>-</v>
      </c>
      <c r="J555" s="13">
        <f t="shared" si="603"/>
        <v>0.26708382961450366</v>
      </c>
      <c r="K555" s="13">
        <f t="shared" si="603"/>
        <v>0.273805453796646</v>
      </c>
      <c r="L555" s="13">
        <f t="shared" ref="L555" si="604">IFERROR(L157/SUM(L385,L516),"-")</f>
        <v>0.28483115834676576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 t="str">
        <f t="shared" si="605"/>
        <v>-</v>
      </c>
      <c r="J556" s="13">
        <f t="shared" si="605"/>
        <v>0.28655597370711439</v>
      </c>
      <c r="K556" s="13">
        <f t="shared" si="605"/>
        <v>0.30600911123306745</v>
      </c>
      <c r="L556" s="13">
        <f t="shared" ref="L556" si="606">IFERROR(L158/SUM(L386,L517),"-")</f>
        <v>0.28584901526780848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>
        <f t="shared" si="607"/>
        <v>0.14999999999999997</v>
      </c>
      <c r="L563" s="13">
        <f t="shared" ref="L563" si="608">IFERROR(L168/L396,"-")</f>
        <v>0.14999999999999986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0.42000000000000021</v>
      </c>
      <c r="L564" s="13">
        <f t="shared" ref="L564" si="610">IFERROR(L170/SUM(L398,L439),"-")</f>
        <v>0.41999999999999993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>
        <f t="shared" si="611"/>
        <v>0.49500000000000016</v>
      </c>
      <c r="J565" s="13">
        <f t="shared" si="611"/>
        <v>0.52250000000000008</v>
      </c>
      <c r="K565" s="13">
        <f t="shared" si="611"/>
        <v>0.5500000000000006</v>
      </c>
      <c r="L565" s="13">
        <f t="shared" ref="L565" si="612">IFERROR(L171/SUM(L399,L519),"-")</f>
        <v>0.59999999999999898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 t="str">
        <f t="shared" si="613"/>
        <v>-</v>
      </c>
      <c r="J566" s="13">
        <f t="shared" si="613"/>
        <v>0.50750000000000017</v>
      </c>
      <c r="K566" s="13">
        <f t="shared" si="613"/>
        <v>0.54</v>
      </c>
      <c r="L566" s="13">
        <f t="shared" ref="L566" si="614">IFERROR(L172/SUM(L400,L520),"-")</f>
        <v>0.57499999999999951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0.69997074295210182</v>
      </c>
      <c r="G567" s="13">
        <f t="shared" si="615"/>
        <v>0.69974874612911608</v>
      </c>
      <c r="H567" s="13">
        <f t="shared" si="615"/>
        <v>0.69999036556641259</v>
      </c>
      <c r="I567" s="13">
        <f t="shared" si="615"/>
        <v>0.69999067522275626</v>
      </c>
      <c r="J567" s="13">
        <f t="shared" si="615"/>
        <v>0.69999962025934859</v>
      </c>
      <c r="K567" s="13">
        <f t="shared" si="615"/>
        <v>0.69999957982037175</v>
      </c>
      <c r="L567" s="13">
        <f t="shared" ref="L567" si="616">IFERROR(L174/L402,"-")</f>
        <v>0.69999993841254005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0.86568591036595399</v>
      </c>
      <c r="G568" s="13">
        <f t="shared" si="615"/>
        <v>0.8657857839376103</v>
      </c>
      <c r="H568" s="13">
        <f t="shared" si="615"/>
        <v>0.86703171395199541</v>
      </c>
      <c r="I568" s="13">
        <f t="shared" si="615"/>
        <v>0.86703383572416659</v>
      </c>
      <c r="J568" s="13">
        <f t="shared" si="615"/>
        <v>0.86703926885132365</v>
      </c>
      <c r="K568" s="13">
        <f t="shared" si="615"/>
        <v>0.86703932806872286</v>
      </c>
      <c r="L568" s="13">
        <f t="shared" ref="L568" si="617">IFERROR(L175/L403,"-")</f>
        <v>0.86703934923052939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0.89404937227349168</v>
      </c>
      <c r="G569" s="13">
        <f t="shared" si="615"/>
        <v>0.8942268556362819</v>
      </c>
      <c r="H569" s="13">
        <f t="shared" si="615"/>
        <v>0.89424419729229954</v>
      </c>
      <c r="I569" s="13">
        <f t="shared" si="615"/>
        <v>0.89425677147455596</v>
      </c>
      <c r="J569" s="13">
        <f t="shared" si="615"/>
        <v>0.89426956938738034</v>
      </c>
      <c r="K569" s="13">
        <f t="shared" si="615"/>
        <v>0.89426964919933638</v>
      </c>
      <c r="L569" s="13">
        <f t="shared" ref="L569" si="618">IFERROR(L176/L404,"-")</f>
        <v>0.89426967050218087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0.90185543894771869</v>
      </c>
      <c r="G570" s="13">
        <f t="shared" si="615"/>
        <v>0.9019772653261825</v>
      </c>
      <c r="H570" s="13">
        <f t="shared" si="615"/>
        <v>0.90426359300110593</v>
      </c>
      <c r="I570" s="13">
        <f t="shared" si="615"/>
        <v>0.9042683461301414</v>
      </c>
      <c r="J570" s="13">
        <f t="shared" si="615"/>
        <v>0.90426965461771891</v>
      </c>
      <c r="K570" s="13">
        <f t="shared" si="615"/>
        <v>0.90426965592794462</v>
      </c>
      <c r="L570" s="13">
        <f t="shared" ref="L570" si="619">IFERROR(L177/L405,"-")</f>
        <v>0.90426967128198921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0.90187358079659929</v>
      </c>
      <c r="G571" s="13">
        <f t="shared" si="615"/>
        <v>0.90199816305327685</v>
      </c>
      <c r="H571" s="13">
        <f t="shared" si="615"/>
        <v>0.90426443904262865</v>
      </c>
      <c r="I571" s="13">
        <f t="shared" si="615"/>
        <v>0.90426838919518493</v>
      </c>
      <c r="J571" s="13">
        <f t="shared" si="615"/>
        <v>0.90426965144286464</v>
      </c>
      <c r="K571" s="13">
        <f t="shared" si="615"/>
        <v>0.90426964844988267</v>
      </c>
      <c r="L571" s="13">
        <f t="shared" ref="L571" si="620">IFERROR(L178/L406,"-")</f>
        <v>0.90426966582194412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0.90181420591787276</v>
      </c>
      <c r="G572" s="13">
        <f t="shared" si="615"/>
        <v>0.90194155237707041</v>
      </c>
      <c r="H572" s="13">
        <f t="shared" si="615"/>
        <v>0.90423688332583718</v>
      </c>
      <c r="I572" s="13">
        <f t="shared" si="615"/>
        <v>0.90424529590612823</v>
      </c>
      <c r="J572" s="13">
        <f t="shared" si="615"/>
        <v>0.90426929533733125</v>
      </c>
      <c r="K572" s="13">
        <f t="shared" si="615"/>
        <v>0.90426921406840877</v>
      </c>
      <c r="L572" s="13">
        <f t="shared" ref="L572" si="621">IFERROR(L179/L407,"-")</f>
        <v>0.90426950949770246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0.90192385360503979</v>
      </c>
      <c r="G573" s="13">
        <f t="shared" si="615"/>
        <v>0.90204603438298725</v>
      </c>
      <c r="H573" s="13">
        <f t="shared" si="615"/>
        <v>0.90426501892457023</v>
      </c>
      <c r="I573" s="13">
        <f t="shared" si="615"/>
        <v>0.90426892849325591</v>
      </c>
      <c r="J573" s="13">
        <f t="shared" si="615"/>
        <v>0.90426966042288193</v>
      </c>
      <c r="K573" s="13">
        <f t="shared" si="615"/>
        <v>0.90426966599454994</v>
      </c>
      <c r="L573" s="13">
        <f t="shared" ref="L573" si="622">IFERROR(L180/L408,"-")</f>
        <v>0.90426967115424672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23">IFERROR(G212/G442,"-")</f>
        <v>0.42528876946994032</v>
      </c>
      <c r="H575" s="4">
        <f t="shared" si="623"/>
        <v>0.3810368317738177</v>
      </c>
      <c r="I575" s="4">
        <f t="shared" si="623"/>
        <v>0.38083293048419881</v>
      </c>
      <c r="J575" s="4">
        <f t="shared" si="623"/>
        <v>0.38083293048419875</v>
      </c>
      <c r="K575" s="4">
        <f t="shared" si="623"/>
        <v>0.38083293048419886</v>
      </c>
      <c r="L575" s="4">
        <f t="shared" ref="L575" si="624">IFERROR(L212/L442,"-")</f>
        <v>0.38083293048419931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 t="str">
        <f t="shared" si="625"/>
        <v>-</v>
      </c>
      <c r="L576" s="4" t="str">
        <f t="shared" ref="L576" si="626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27">IFERROR(G220/G450,"-")</f>
        <v>0.85445501111132494</v>
      </c>
      <c r="H577" s="4">
        <f t="shared" si="627"/>
        <v>0.8544550111113256</v>
      </c>
      <c r="I577" s="4">
        <f t="shared" si="627"/>
        <v>0.85445501111132482</v>
      </c>
      <c r="J577" s="4">
        <f t="shared" si="627"/>
        <v>0.85445501111132538</v>
      </c>
      <c r="K577" s="4">
        <f t="shared" si="627"/>
        <v>0.85445501111132482</v>
      </c>
      <c r="L577" s="4" t="str">
        <f t="shared" ref="L577" si="628">IFERROR(L220/L450,"-")</f>
        <v>-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29">IFERROR(G226/G456,"-")</f>
        <v>0.69999999999999984</v>
      </c>
      <c r="H578" s="4">
        <f t="shared" si="629"/>
        <v>0.69999999999999984</v>
      </c>
      <c r="I578" s="4">
        <f t="shared" si="629"/>
        <v>0.69999999999999918</v>
      </c>
      <c r="J578" s="4">
        <f t="shared" si="629"/>
        <v>0.70000000000000007</v>
      </c>
      <c r="K578" s="4">
        <f t="shared" si="629"/>
        <v>0.70000000000000018</v>
      </c>
      <c r="L578" s="4">
        <f t="shared" ref="L578" si="630">IFERROR(L226/L456,"-")</f>
        <v>0.70000000000000007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>
        <f t="shared" si="631"/>
        <v>0.50000000000000022</v>
      </c>
      <c r="J579">
        <f t="shared" si="631"/>
        <v>0.50000000000000011</v>
      </c>
      <c r="K579">
        <f t="shared" si="631"/>
        <v>0.50000000000000011</v>
      </c>
      <c r="L579">
        <f t="shared" ref="L579" si="632">IFERROR(L228/L458,"-")</f>
        <v>0.50000000000000011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>
        <f t="shared" si="633"/>
        <v>0.84999999999999976</v>
      </c>
      <c r="L580">
        <f t="shared" ref="L580" si="634">IFERROR(L230/L460,"-")</f>
        <v>0.84999999999999942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3.0000000000000031</v>
      </c>
      <c r="H581" s="4">
        <f t="shared" si="635"/>
        <v>3.0000000000000027</v>
      </c>
      <c r="I581" s="4">
        <f t="shared" si="635"/>
        <v>3.0000000000000027</v>
      </c>
      <c r="J581" s="4">
        <f t="shared" si="635"/>
        <v>3.0000000000000018</v>
      </c>
      <c r="K581" s="4">
        <f t="shared" si="635"/>
        <v>3.0000000000000013</v>
      </c>
      <c r="L581" s="4">
        <f t="shared" ref="L581" si="636">IFERROR(L232/L462,"-")</f>
        <v>3.0000000000000027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1.3065243248745349E-5</v>
      </c>
      <c r="K582" s="3">
        <f>[2]Other_transformation!G$5</f>
        <v>1.6567284897554823E-5</v>
      </c>
      <c r="L582" s="3">
        <f>[2]Other_transformation!H$5</f>
        <v>1.0386979274356177E-5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37">G582</f>
        <v>0.63740653135513703</v>
      </c>
      <c r="H583" s="1">
        <f t="shared" si="637"/>
        <v>0.63735186741482475</v>
      </c>
      <c r="I583" s="1">
        <f t="shared" si="637"/>
        <v>1.1874899853890362E-4</v>
      </c>
      <c r="J583" s="1">
        <f t="shared" si="637"/>
        <v>1.3065243248745349E-5</v>
      </c>
      <c r="K583" s="1">
        <f t="shared" si="637"/>
        <v>1.6567284897554823E-5</v>
      </c>
      <c r="L583" s="1">
        <f t="shared" ref="L583" si="638">L582</f>
        <v>1.0386979274356177E-5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1.3065243248745349E-5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1.6567284897554823E-5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1.0386979274356177E-5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39">G587</f>
        <v>0.2485885472285031</v>
      </c>
      <c r="H586" s="3">
        <f t="shared" si="639"/>
        <v>0.24856722829178118</v>
      </c>
      <c r="I586" s="3">
        <f t="shared" si="639"/>
        <v>4.6312109430172423E-5</v>
      </c>
      <c r="J586" s="3">
        <f t="shared" si="639"/>
        <v>5.0954448670106808E-6</v>
      </c>
      <c r="K586" s="3">
        <f t="shared" si="639"/>
        <v>6.4612411100463703E-6</v>
      </c>
      <c r="L586" s="3">
        <f t="shared" si="639"/>
        <v>3.8290384104833207E-6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40">SUM(G588:G589)</f>
        <v>0.2485885472285031</v>
      </c>
      <c r="H587" s="1">
        <f t="shared" si="640"/>
        <v>0.24856722829178118</v>
      </c>
      <c r="I587" s="1">
        <f t="shared" si="640"/>
        <v>4.6312109430172423E-5</v>
      </c>
      <c r="J587" s="1">
        <f t="shared" si="640"/>
        <v>5.0954448670106808E-6</v>
      </c>
      <c r="K587" s="1">
        <f t="shared" si="640"/>
        <v>6.4612411100463703E-6</v>
      </c>
      <c r="L587" s="1">
        <f t="shared" ref="L587" si="641">SUM(L588:L589)</f>
        <v>3.8290384104833207E-6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5.0954448670106808E-6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6.4612411100463703E-6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3.8290384104833207E-6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42">G591+G594</f>
        <v>1.8605896650256433</v>
      </c>
      <c r="H590" s="3">
        <f t="shared" si="642"/>
        <v>1.8604301009838724</v>
      </c>
      <c r="I590" s="3">
        <f t="shared" si="642"/>
        <v>3.4662832673505961E-4</v>
      </c>
      <c r="J590" s="3">
        <f t="shared" si="642"/>
        <v>3.8137445043087646E-5</v>
      </c>
      <c r="K590" s="3">
        <f t="shared" si="642"/>
        <v>4.8359904615962503E-5</v>
      </c>
      <c r="L590" s="3">
        <f t="shared" ref="L590" si="643">L591+L594</f>
        <v>3.0348636882918109E-5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44">SUM(G592:G593)</f>
        <v>1.8162899110964612</v>
      </c>
      <c r="H591" s="1">
        <f t="shared" si="644"/>
        <v>1.8161341461985421</v>
      </c>
      <c r="I591" s="1">
        <f t="shared" si="644"/>
        <v>3.3837527133660582E-4</v>
      </c>
      <c r="J591" s="1">
        <f t="shared" si="644"/>
        <v>3.7229410637299845E-5</v>
      </c>
      <c r="K591" s="1">
        <f t="shared" si="644"/>
        <v>4.720847831558244E-5</v>
      </c>
      <c r="L591" s="1">
        <f t="shared" ref="L591" si="645">SUM(L592:L593)</f>
        <v>2.962605029046768E-5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3.7229410637299845E-5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4.720847831558244E-5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2.962605029046768E-5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46">SUM(G595:G596)</f>
        <v>4.4299753929182013E-2</v>
      </c>
      <c r="H594" s="1">
        <f t="shared" si="646"/>
        <v>4.4295954785330285E-2</v>
      </c>
      <c r="I594" s="1">
        <f t="shared" si="646"/>
        <v>8.2530553984537979E-6</v>
      </c>
      <c r="J594" s="1">
        <f t="shared" si="646"/>
        <v>9.0803440578780142E-7</v>
      </c>
      <c r="K594" s="1">
        <f t="shared" si="646"/>
        <v>1.1514263003800607E-6</v>
      </c>
      <c r="L594" s="1">
        <f t="shared" ref="L594" si="647">SUM(L595:L596)</f>
        <v>7.2258659245043098E-7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9.0803440578780142E-7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1.1514263003800607E-6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7.2258659245043098E-7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48">IFERROR(SUM(G584,G588)/SUM(G592,G595),"-")</f>
        <v>0.47619047619047644</v>
      </c>
      <c r="H598" s="4">
        <f t="shared" si="648"/>
        <v>0.47619047619047616</v>
      </c>
      <c r="I598" s="4">
        <f t="shared" si="648"/>
        <v>0.47619047619047633</v>
      </c>
      <c r="J598" s="4">
        <f t="shared" si="648"/>
        <v>0.47619047619047639</v>
      </c>
      <c r="K598" s="4">
        <f t="shared" si="648"/>
        <v>0.47619047619047628</v>
      </c>
      <c r="L598" s="4">
        <f t="shared" ref="L598" si="649">IFERROR(SUM(L584,L588)/SUM(L592,L595),"-")</f>
        <v>0.4684235980575806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8.7477989834834489E-6</v>
      </c>
      <c r="K600" s="1">
        <f>[2]Other_transformation!G$12</f>
        <v>6.5336537045134955E-6</v>
      </c>
      <c r="L600" s="1">
        <f>[2]Other_transformation!H$12</f>
        <v>5.174976188223593E-6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51">SUM(G602:G603)</f>
        <v>6.5304330161327189E-5</v>
      </c>
      <c r="H601" s="1">
        <f t="shared" si="651"/>
        <v>0.208142764951007</v>
      </c>
      <c r="I601" s="1">
        <f t="shared" si="651"/>
        <v>8.9822429029535092E-5</v>
      </c>
      <c r="J601" s="1">
        <f t="shared" si="651"/>
        <v>8.7477989834834489E-6</v>
      </c>
      <c r="K601" s="1">
        <f t="shared" si="651"/>
        <v>6.5336537045134955E-6</v>
      </c>
      <c r="L601" s="1">
        <f t="shared" ref="L601" si="652">SUM(L602:L603)</f>
        <v>5.174976188223593E-6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8.7477989834834489E-6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6.5336537045134955E-6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5.174976188223593E-6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54">G605+G608</f>
        <v>2.4358515150175032E-4</v>
      </c>
      <c r="H604" s="3">
        <f t="shared" si="654"/>
        <v>0.77637251326725598</v>
      </c>
      <c r="I604" s="3">
        <f t="shared" si="654"/>
        <v>3.3503766028016621E-4</v>
      </c>
      <c r="J604" s="3">
        <f t="shared" si="654"/>
        <v>3.2629290208393235E-5</v>
      </c>
      <c r="K604" s="3">
        <f t="shared" si="654"/>
        <v>2.4370528317835361E-5</v>
      </c>
      <c r="L604" s="3">
        <f t="shared" ref="L604" si="655">L605+L608</f>
        <v>1.9302661182073992E-5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56">SUM(G606:G607)</f>
        <v>1.3648605003717377E-4</v>
      </c>
      <c r="H605" s="1">
        <f t="shared" si="656"/>
        <v>0.43501837874760452</v>
      </c>
      <c r="I605" s="1">
        <f t="shared" si="656"/>
        <v>1.8772887667172847E-4</v>
      </c>
      <c r="J605" s="1">
        <f t="shared" si="656"/>
        <v>1.8282899875480391E-5</v>
      </c>
      <c r="K605" s="1">
        <f t="shared" si="656"/>
        <v>1.3655336242433225E-5</v>
      </c>
      <c r="L605" s="1">
        <f t="shared" ref="L605" si="657">SUM(L606:L607)</f>
        <v>1.0815700233387305E-5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1.8282899875480391E-5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1.3655336242433225E-5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1.0815700233387305E-5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58">SUM(G609:G610)</f>
        <v>1.0709910146457655E-4</v>
      </c>
      <c r="H608" s="1">
        <f t="shared" si="658"/>
        <v>0.34135413451965146</v>
      </c>
      <c r="I608" s="1">
        <f t="shared" si="658"/>
        <v>1.4730878360843771E-4</v>
      </c>
      <c r="J608" s="1">
        <f t="shared" si="658"/>
        <v>1.4346390332912847E-5</v>
      </c>
      <c r="K608" s="1">
        <f t="shared" si="658"/>
        <v>1.0715192075402138E-5</v>
      </c>
      <c r="L608" s="1">
        <f t="shared" ref="L608" si="659">SUM(L609:L610)</f>
        <v>8.4869609486866867E-6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1.4346390332912847E-5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1.0715192075402138E-5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8.4869609486866867E-6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60">IFERROR(G602/SUM(G606,G609),"-")</f>
        <v>0.26809651474530843</v>
      </c>
      <c r="H612">
        <f t="shared" si="660"/>
        <v>0.26809651474530838</v>
      </c>
      <c r="I612">
        <f t="shared" si="660"/>
        <v>0.26809651474530805</v>
      </c>
      <c r="J612">
        <f t="shared" si="660"/>
        <v>0.26809651474530855</v>
      </c>
      <c r="K612">
        <f t="shared" si="660"/>
        <v>0.26809651474530805</v>
      </c>
      <c r="L612">
        <f t="shared" ref="L612" si="661">IFERROR(L602/SUM(L606,L609),"-")</f>
        <v>0.26809651474530843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63">G615+G616+G621</f>
        <v>9.4223181413143546</v>
      </c>
      <c r="H614" s="3">
        <f t="shared" ref="H614" si="664">H615+H616+H621</f>
        <v>10.184807872846209</v>
      </c>
      <c r="I614" s="3">
        <f t="shared" ref="I614" si="665">I615+I616+I621</f>
        <v>11.306288790868985</v>
      </c>
      <c r="J614" s="3">
        <f t="shared" ref="J614" si="666">J615+J616+J621</f>
        <v>12.126081923428135</v>
      </c>
      <c r="K614" s="3">
        <f t="shared" ref="K614:L614" si="667">K615+K616+K621</f>
        <v>12.51167352307788</v>
      </c>
      <c r="L614" s="3">
        <f t="shared" si="667"/>
        <v>16.490531732608638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4.3847641624288851</v>
      </c>
      <c r="K615" s="1">
        <f>[2]Other_transformation!G$19</f>
        <v>5.0730885546984554</v>
      </c>
      <c r="L615" s="1">
        <f>[2]Other_transformation!H$19</f>
        <v>9.3766066423687882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7.7412457958317233</v>
      </c>
      <c r="K616" s="1">
        <f>[2]Other_transformation!G$20</f>
        <v>7.4385120762988972</v>
      </c>
      <c r="L616" s="1">
        <f>[2]Other_transformation!H$20</f>
        <v>7.1138519919544931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7.7412457958317233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7.4384704316396908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7.1138061911924915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4.1644659206668476E-5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4.5800762001589833E-5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7.1965167525914154E-5</v>
      </c>
      <c r="K621" s="1">
        <f>[2]Other_transformation!G$21</f>
        <v>7.2892080525807992E-5</v>
      </c>
      <c r="L621" s="1">
        <f>[2]Other_transformation!H$21</f>
        <v>7.3098285353693715E-5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7.1965167525914154E-5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7.2892080525807992E-5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7.3098285353693715E-5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68">G625+G626+G631</f>
        <v>0.11779403937146456</v>
      </c>
      <c r="H624" s="3">
        <f t="shared" ref="H624" si="669">H625+H626+H631</f>
        <v>0.11600459802147386</v>
      </c>
      <c r="I624" s="3">
        <f t="shared" ref="I624" si="670">I625+I626+I631</f>
        <v>0.1384383285725185</v>
      </c>
      <c r="J624" s="3">
        <f t="shared" ref="J624" si="671">J625+J626+J631</f>
        <v>0.15482693648501561</v>
      </c>
      <c r="K624" s="3">
        <f t="shared" ref="K624:L624" si="672">K625+K626+K631</f>
        <v>0.14877153355694214</v>
      </c>
      <c r="L624" s="3">
        <f t="shared" si="672"/>
        <v>0.14227831707450492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73">SUM(G627:G630)</f>
        <v>0.11778766297800411</v>
      </c>
      <c r="H626" s="1">
        <f t="shared" si="673"/>
        <v>0.11600061237418552</v>
      </c>
      <c r="I626" s="1">
        <f t="shared" si="673"/>
        <v>0.13842271121305322</v>
      </c>
      <c r="J626" s="1">
        <f t="shared" si="673"/>
        <v>0.15482491591663455</v>
      </c>
      <c r="K626" s="1">
        <f t="shared" si="673"/>
        <v>0.14876940863279395</v>
      </c>
      <c r="L626" s="1">
        <f t="shared" ref="L626" si="674">SUM(L627:L630)</f>
        <v>0.14227612382384974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0.15482491591663455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0.14876940863279395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0.14227612382384974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6.3763934604468176E-6</v>
      </c>
      <c r="H631" s="1">
        <f t="shared" si="675"/>
        <v>3.9856472883496586E-6</v>
      </c>
      <c r="I631" s="1">
        <f t="shared" si="675"/>
        <v>1.5617359465300001E-5</v>
      </c>
      <c r="J631" s="1">
        <f t="shared" si="675"/>
        <v>2.0205683810482696E-6</v>
      </c>
      <c r="K631" s="1">
        <f t="shared" si="675"/>
        <v>2.1249241482020264E-6</v>
      </c>
      <c r="L631" s="1">
        <f t="shared" ref="L631" si="676">SUM(L632:L633)</f>
        <v>2.1932506551629214E-6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2.0205683810482696E-6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2.1249241482020264E-6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2.1932506551629214E-6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1.9129180381340425E-5</v>
      </c>
      <c r="H634" s="3">
        <f t="shared" ref="H634" si="678">H635+H636+H641</f>
        <v>1.1956941865048968E-5</v>
      </c>
      <c r="I634" s="3">
        <f t="shared" ref="I634" si="679">I635+I636+I641</f>
        <v>4.6852078395899952E-5</v>
      </c>
      <c r="J634" s="3">
        <f t="shared" ref="J634" si="680">J635+J636+J641</f>
        <v>8.6358201031097045E-6</v>
      </c>
      <c r="K634" s="3">
        <f t="shared" ref="K634:L634" si="681">K635+K636+K641</f>
        <v>8.7470496630969714E-6</v>
      </c>
      <c r="L634" s="3">
        <f t="shared" si="681"/>
        <v>8.5262755618745774E-6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1.9129180381340425E-5</v>
      </c>
      <c r="H641" s="1">
        <f t="shared" ref="H641" si="688">SUM(H642:H643)</f>
        <v>1.1956941865048968E-5</v>
      </c>
      <c r="I641" s="1">
        <f t="shared" ref="I641" si="689">SUM(I642:I643)</f>
        <v>4.6852078395899952E-5</v>
      </c>
      <c r="J641" s="1">
        <f t="shared" ref="J641" si="690">SUM(J642:J643)</f>
        <v>8.6358201031097045E-6</v>
      </c>
      <c r="K641" s="1">
        <f t="shared" ref="K641:L641" si="691">SUM(K642:K643)</f>
        <v>8.7470496630969714E-6</v>
      </c>
      <c r="L641" s="1">
        <f t="shared" si="691"/>
        <v>8.5262755618745774E-6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8.6358201031097045E-6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8.7470496630969714E-6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8.5262755618745774E-6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92">G645+G646+G651</f>
        <v>20.230327023760307</v>
      </c>
      <c r="H644" s="3">
        <f t="shared" ref="H644" si="693">H645+H646+H651</f>
        <v>22.513050849615741</v>
      </c>
      <c r="I644" s="3">
        <f t="shared" ref="I644" si="694">I645+I646+I651</f>
        <v>24.441346912815352</v>
      </c>
      <c r="J644" s="3">
        <f t="shared" ref="J644" si="695">J645+J646+J651</f>
        <v>25.851041857327118</v>
      </c>
      <c r="K644" s="3">
        <f t="shared" ref="K644:L644" si="696">K645+K646+K651</f>
        <v>27.299109751004465</v>
      </c>
      <c r="L644" s="3">
        <f t="shared" si="696"/>
        <v>39.048940726261748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12.540425504546596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14.509033266437557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26.817094997174696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97">SUM(G647:G650)</f>
        <v>10.126373654308987</v>
      </c>
      <c r="H646" s="1">
        <f t="shared" ref="H646" si="698">SUM(H647:H650)</f>
        <v>9.9727383609692488</v>
      </c>
      <c r="I646" s="1">
        <f t="shared" ref="I646" si="699">SUM(I647:I650)</f>
        <v>11.900398229716481</v>
      </c>
      <c r="J646" s="1">
        <f t="shared" ref="J646" si="700">SUM(J647:J650)</f>
        <v>13.310519199804363</v>
      </c>
      <c r="K646" s="1">
        <f t="shared" ref="K646:L646" si="701">SUM(K647:K650)</f>
        <v>12.789978080258198</v>
      </c>
      <c r="L646" s="1">
        <f t="shared" si="701"/>
        <v>12.231747046401827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13.310519199804363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12.789918587887902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12.231681616741824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5.9492370295240704E-5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6.5429660002271233E-5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2.1520327929007966E-4</v>
      </c>
      <c r="H651" s="1">
        <f t="shared" ref="H651" si="703">SUM(H652:H653)</f>
        <v>1.3451559598180095E-4</v>
      </c>
      <c r="I651" s="1">
        <f t="shared" ref="I651" si="704">SUM(I652:I653)</f>
        <v>5.2708588195387403E-4</v>
      </c>
      <c r="J651" s="1">
        <f t="shared" ref="J651" si="705">SUM(J652:J653)</f>
        <v>9.7152976159984152E-5</v>
      </c>
      <c r="K651" s="1">
        <f t="shared" ref="K651:L651" si="706">SUM(K652:K653)</f>
        <v>9.8404308709840895E-5</v>
      </c>
      <c r="L651" s="1">
        <f t="shared" si="706"/>
        <v>9.8682685227486489E-5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9.7152976159984152E-5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9.8404308709840895E-5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9.8682685227486489E-5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0.34965034965034986</v>
      </c>
      <c r="G655" s="4">
        <f t="shared" si="707"/>
        <v>0.34965034965035036</v>
      </c>
      <c r="H655" s="4">
        <f t="shared" si="707"/>
        <v>0.3496503496503503</v>
      </c>
      <c r="I655" s="4">
        <f t="shared" si="707"/>
        <v>0.34965034965034991</v>
      </c>
      <c r="J655" s="4">
        <f t="shared" si="707"/>
        <v>0.34965034965035008</v>
      </c>
      <c r="K655" s="4">
        <f t="shared" si="707"/>
        <v>0.34965034965035025</v>
      </c>
      <c r="L655" s="4">
        <f t="shared" ref="L655" si="708">IFERROR(SUM(L635,L625,L615)/L645,"-")</f>
        <v>0.34965034965035013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0.59322033898305093</v>
      </c>
      <c r="G656" s="4">
        <f t="shared" si="709"/>
        <v>0.59322033898305038</v>
      </c>
      <c r="H656" s="4">
        <f t="shared" si="709"/>
        <v>0.59322033898305104</v>
      </c>
      <c r="I656" s="4">
        <f t="shared" si="709"/>
        <v>0.59322033898305104</v>
      </c>
      <c r="J656" s="4">
        <f t="shared" si="709"/>
        <v>0.59322033898305138</v>
      </c>
      <c r="K656" s="4">
        <f t="shared" si="709"/>
        <v>0.59322033898305093</v>
      </c>
      <c r="L656" s="4">
        <f t="shared" ref="L656" si="710">IFERROR(SUM(L637,L627,L617)/L647,"-")</f>
        <v>0.59322033898305127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0.69999999999999973</v>
      </c>
      <c r="L658" s="4">
        <f t="shared" ref="L658" si="712">IFERROR(SUM(L639,L629,L619)/L649,"-")</f>
        <v>0.69999999999999951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>
        <f t="shared" si="714"/>
        <v>0.85925925925925906</v>
      </c>
      <c r="H660" s="4">
        <f t="shared" si="714"/>
        <v>0.85925925925925906</v>
      </c>
      <c r="I660" s="4">
        <f t="shared" si="714"/>
        <v>0.8592592592592595</v>
      </c>
      <c r="J660" s="4">
        <f t="shared" si="714"/>
        <v>0.85042743182686664</v>
      </c>
      <c r="K660" s="4">
        <f t="shared" si="714"/>
        <v>0.85122344168990838</v>
      </c>
      <c r="L660" s="4">
        <f t="shared" ref="L660" si="715">IFERROR(SUM(L642,L632,L622)/L652,"-")</f>
        <v>0.84936695203937462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17">SUM(G663,G667,G676)</f>
        <v>5.5161528493874561E-3</v>
      </c>
      <c r="H662" s="3">
        <f t="shared" si="717"/>
        <v>5.5310075555088899E-3</v>
      </c>
      <c r="I662" s="3">
        <f t="shared" si="717"/>
        <v>0.10062960987523505</v>
      </c>
      <c r="J662" s="3">
        <f t="shared" si="717"/>
        <v>8.7240838802960887</v>
      </c>
      <c r="K662" s="3">
        <f t="shared" si="717"/>
        <v>8.724086491898845</v>
      </c>
      <c r="L662" s="3">
        <f t="shared" ref="L662" si="718">SUM(L663,L667,L676)</f>
        <v>13.402738282807269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8.7240838802960887</v>
      </c>
      <c r="K663" s="1">
        <f>[2]Other_transformation!G$28</f>
        <v>8.724086491898845</v>
      </c>
      <c r="L663" s="1">
        <f>[2]Other_transformation!H$28</f>
        <v>13.402517325889635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8.7240757526880124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7.5518205426363991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12.163007497664335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8.127608077081667E-6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1.1712174268027695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1.2392237308149443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1.0485224596757001E-3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2.8609741035544604E-4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2.2095691763294098E-4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1.1383439213620799E-4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1.0712252549673298E-4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2.2095691763294098E-4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1.1383439213620799E-4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1.0712252549673298E-4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35">SUM(G680,G684,G686,G695)</f>
        <v>7.9483470452268758E-3</v>
      </c>
      <c r="H679" s="3">
        <f t="shared" si="735"/>
        <v>7.8176785236874751E-3</v>
      </c>
      <c r="I679" s="3">
        <f t="shared" si="735"/>
        <v>0.13784878065100681</v>
      </c>
      <c r="J679" s="3">
        <f t="shared" si="735"/>
        <v>11.593466950559588</v>
      </c>
      <c r="K679" s="3">
        <f t="shared" si="735"/>
        <v>11.25673806202199</v>
      </c>
      <c r="L679" s="3">
        <f t="shared" ref="L679" si="736">SUM(L680,L684,L686,L695)</f>
        <v>16.344807343118102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37">SUM(G681:G683)</f>
        <v>7.9483470452268758E-3</v>
      </c>
      <c r="H680" s="1">
        <f t="shared" si="737"/>
        <v>7.8176785236874751E-3</v>
      </c>
      <c r="I680" s="1">
        <f t="shared" si="737"/>
        <v>0.13784878065100681</v>
      </c>
      <c r="J680" s="1">
        <f t="shared" si="737"/>
        <v>11.593466950559588</v>
      </c>
      <c r="K680" s="1">
        <f t="shared" si="737"/>
        <v>11.256581386252153</v>
      </c>
      <c r="L680" s="1">
        <f t="shared" ref="L680" si="738">SUM(L681:L683)</f>
        <v>16.34447052238508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11.593456149751512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9.7442845711437407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14.832935972761378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1.0800808075856029E-5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1.5112482926487349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1.5112484522133471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1.0485224596757001E-3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2.8609741035544604E-4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1.5667576983659904E-4</v>
      </c>
      <c r="L684" s="1">
        <f t="shared" si="745"/>
        <v>3.1788601150605113E-5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1.5667576983659904E-4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3.1788601150605113E-5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3.0503213186785003E-4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1.4978209491606285E-4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1.5525003695178718E-4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3.0503213186785003E-4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1.4978209491606285E-4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1.5525003695178718E-4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62">IFERROR(G664/G681,"-")</f>
        <v>0.69400000000000051</v>
      </c>
      <c r="H699" s="4">
        <f t="shared" si="762"/>
        <v>0.70750000000000013</v>
      </c>
      <c r="I699" s="4">
        <f t="shared" si="762"/>
        <v>0.73000000000000054</v>
      </c>
      <c r="J699" s="4">
        <f t="shared" si="762"/>
        <v>0.75249999999999995</v>
      </c>
      <c r="K699" s="4">
        <f t="shared" si="762"/>
        <v>0.77500000000000002</v>
      </c>
      <c r="L699" s="4">
        <f t="shared" ref="L699" si="763">IFERROR(L664/L681,"-")</f>
        <v>0.82000000000000028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>
        <f t="shared" si="765"/>
        <v>0.73000000000000054</v>
      </c>
      <c r="J700" s="4">
        <f t="shared" si="765"/>
        <v>0.7525000000000005</v>
      </c>
      <c r="K700" s="4">
        <f t="shared" si="765"/>
        <v>0.77499999999999991</v>
      </c>
      <c r="L700" s="4">
        <f t="shared" ref="L700" si="766">IFERROR(L665/L682,"-")</f>
        <v>0.81999999999999973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>
        <f t="shared" si="767"/>
        <v>0.86999999999999988</v>
      </c>
      <c r="L701" s="4">
        <f t="shared" ref="L701" si="768">IFERROR(L666/SUM(L683,L685),"-")</f>
        <v>0.89999999999999991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>
        <f t="shared" ref="L702" si="770">IFERROR(L668/L687,"-")</f>
        <v>0.76000000000000145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>
        <f t="shared" ref="L703" si="771">IFERROR(L669/L688,"-")</f>
        <v>0.68999999999999895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2.4509810216748789</v>
      </c>
      <c r="K706" s="1">
        <f>[2]Other_transformation!G$39</f>
        <v>2.8155340681749701</v>
      </c>
      <c r="L706" s="1">
        <f>[2]Other_transformation!H$39</f>
        <v>3.1730984577556742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2.6855635216725493</v>
      </c>
      <c r="K707" s="1">
        <f>[2]Other_transformation!G$38</f>
        <v>3.0850078073432003</v>
      </c>
      <c r="L707" s="1">
        <f>[2]Other_transformation!H$38</f>
        <v>3.4767945542886549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0.91265054871925977</v>
      </c>
      <c r="G708" s="14">
        <f t="shared" si="775"/>
        <v>0.91265054871925877</v>
      </c>
      <c r="H708" s="14">
        <f t="shared" si="775"/>
        <v>0.91265054871925844</v>
      </c>
      <c r="I708" s="14">
        <f t="shared" si="775"/>
        <v>0.91265054871925944</v>
      </c>
      <c r="J708" s="14">
        <f t="shared" si="775"/>
        <v>0.91265054871925944</v>
      </c>
      <c r="K708" s="14">
        <f t="shared" si="775"/>
        <v>0.9126505487192591</v>
      </c>
      <c r="L708" s="14">
        <f t="shared" ref="L708" si="776">L706/L707</f>
        <v>0.91265054871925955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6.7668357942492925</v>
      </c>
      <c r="K709" s="17" cm="1">
        <f t="array" ref="K709">SUMPRODUCT(("CT_CWODPLT"=[2]OUT_SyntheticFuels!$C$4:$C$1000)*1,("Var_Fout"=[2]OUT_SyntheticFuels!$B$4:$B$1000)*1,[2]OUT_SyntheticFuels!J$4:J$1000)</f>
        <v>6.9647472771102787</v>
      </c>
      <c r="L709" s="17" cm="1">
        <f t="array" ref="L709">SUMPRODUCT(("CT_CWODPLT"=[2]OUT_SyntheticFuels!$C$4:$C$1000)*1,("Var_Fout"=[2]OUT_SyntheticFuels!$B$4:$B$1000)*1,[2]OUT_SyntheticFuels!K$4:K$1000)</f>
        <v>6.5455635400373069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77">G709</f>
        <v>6.9696573841657754</v>
      </c>
      <c r="H710" s="18">
        <f t="shared" si="777"/>
        <v>6.0060349937934179</v>
      </c>
      <c r="I710" s="18">
        <f t="shared" si="777"/>
        <v>6.5144074692307017</v>
      </c>
      <c r="J710" s="18">
        <f t="shared" si="777"/>
        <v>6.7668357942492925</v>
      </c>
      <c r="K710" s="18">
        <f t="shared" si="777"/>
        <v>6.9647472771102787</v>
      </c>
      <c r="L710" s="18">
        <f t="shared" ref="L710" si="778">L709</f>
        <v>6.5455635400373069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8.0557568979158223</v>
      </c>
      <c r="K711" s="17" cm="1">
        <f t="array" ref="K711">SUMPRODUCT(("CT_CWODPLT"=[2]OUT_SyntheticFuels!$C$4:$C$1000)*1,("Var_Fin"=[2]OUT_SyntheticFuels!$B$4:$B$1000)*1,[2]OUT_SyntheticFuels!J$4:J$1000)</f>
        <v>8.2913658060836646</v>
      </c>
      <c r="L711" s="17" cm="1">
        <f t="array" ref="L711">SUMPRODUCT(("CT_CWODPLT"=[2]OUT_SyntheticFuels!$C$4:$C$1000)*1,("Var_Fin"=[2]OUT_SyntheticFuels!$B$4:$B$1000)*1,[2]OUT_SyntheticFuels!K$4:K$1000)</f>
        <v>7.7923375476634655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7.118629455210483</v>
      </c>
      <c r="G712" s="18">
        <f t="shared" si="779"/>
        <v>8.2972111716259267</v>
      </c>
      <c r="H712" s="18">
        <f t="shared" si="779"/>
        <v>7.1500416592778775</v>
      </c>
      <c r="I712" s="18">
        <f t="shared" si="779"/>
        <v>7.7552469871793983</v>
      </c>
      <c r="J712" s="18">
        <f t="shared" si="779"/>
        <v>8.0557568979158223</v>
      </c>
      <c r="K712" s="18">
        <f t="shared" si="779"/>
        <v>8.2913658060836646</v>
      </c>
      <c r="L712" s="18">
        <f t="shared" ref="L712" si="780">L711</f>
        <v>7.7923375476634655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0.84000000000000041</v>
      </c>
      <c r="G713" s="14">
        <f t="shared" si="781"/>
        <v>0.83999999999999964</v>
      </c>
      <c r="H713" s="14">
        <f t="shared" si="781"/>
        <v>0.84000000000000008</v>
      </c>
      <c r="I713" s="14">
        <f t="shared" si="781"/>
        <v>0.84000000000000097</v>
      </c>
      <c r="J713" s="14">
        <f t="shared" si="781"/>
        <v>0.84000000000000019</v>
      </c>
      <c r="K713" s="14">
        <f t="shared" si="781"/>
        <v>0.84000000000000008</v>
      </c>
      <c r="L713" s="14">
        <f t="shared" ref="L713" si="782">IFERROR(L709/L711,"-")</f>
        <v>0.83999999999999941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1.3047691577621325E-4</v>
      </c>
      <c r="L714" s="17">
        <f t="shared" ref="L714" si="784">L715+L717</f>
        <v>0.22832826564690972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1.6012762069890203E-5</v>
      </c>
      <c r="L715" s="18">
        <f t="shared" si="785"/>
        <v>2.2183500682965761E-4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1.6012762069890203E-5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2.2183500682965761E-4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1.1446415370632305E-4</v>
      </c>
      <c r="L717" s="18">
        <f t="shared" ref="L717" si="788">SUM(L718:L720)</f>
        <v>0.22810643064008007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6.6527691218975065E-5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6.4855304410095641E-2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3.9304264019928453E-5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0.16325112622998442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8.6321984674195428E-6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2.4013528930311189E-4</v>
      </c>
      <c r="L721" s="17">
        <f t="shared" si="790"/>
        <v>0.34532351580679199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2.4013528930311189E-4</v>
      </c>
      <c r="L722" s="18">
        <f t="shared" ref="L722" si="793">SUM(L723,L725)</f>
        <v>0.34532351580679199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2.0795794895961299E-5</v>
      </c>
      <c r="L723" s="18">
        <f t="shared" si="795"/>
        <v>2.8809741146708812E-4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2.0795794895961299E-5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2.8809741146708812E-4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2.1933949440715059E-4</v>
      </c>
      <c r="L725" s="18">
        <f t="shared" ref="L725" si="797">SUM(L726:L728)</f>
        <v>0.34503541839532492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1.4444792676812805E-4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0.11181952378106151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5.6148948599897903E-5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0.23321589461426342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1.8742619039124626E-5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>
        <f t="shared" si="799"/>
        <v>0.77000000000000013</v>
      </c>
      <c r="L730" s="14">
        <f t="shared" ref="L730" si="800">IFERROR(L716/L724,"-")</f>
        <v>0.76999999999999913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>
        <f t="shared" si="802"/>
        <v>0.46056522033554154</v>
      </c>
      <c r="L731" s="16">
        <f t="shared" ref="L731" si="803">IFERROR(L718/L726,"-")</f>
        <v>0.57999982665889305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>
        <f t="shared" si="804"/>
        <v>0.69999999999999862</v>
      </c>
      <c r="L732" s="16">
        <f t="shared" ref="L732" si="805">IFERROR(L719/L727,"-")</f>
        <v>0.70000000000000007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>
        <f t="shared" si="806"/>
        <v>0.4605652203355412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1.0741657329862075E-5</v>
      </c>
      <c r="L734" s="17">
        <f t="shared" si="812"/>
        <v>1.6814339844186101E-2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1.0741657329862075E-5</v>
      </c>
      <c r="L735" s="18">
        <f t="shared" si="817"/>
        <v>1.6814339844186101E-2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8.3991037426007666E-6</v>
      </c>
      <c r="L736" s="18" cm="1">
        <f t="array" ref="L736"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2.3425513676027157E-6</v>
      </c>
      <c r="L737" s="18">
        <f>L735-L736-L738</f>
        <v>1.6814339844186101E-2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2.2196585929283431E-12</v>
      </c>
      <c r="L738" s="18" cm="1">
        <f t="array" ref="L738"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9.0311978074180546E-7</v>
      </c>
      <c r="L739" s="18">
        <f t="shared" si="823"/>
        <v>1.2511494385192687E-5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9.0311978074180546E-7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1.2511494385192687E-5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9.838537549120269E-6</v>
      </c>
      <c r="L741" s="18">
        <f t="shared" si="830"/>
        <v>1.6801828349800908E-2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6.1410591586202041E-6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4.753895234028061E-3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2.90065468467072E-6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1.2047933115772846E-2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7.9682370582934484E-7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7.0616632959959445E-7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7.0616632959959445E-7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7.6929374130011729E-6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4.8018095698610376E-6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2.2680764122200049E-6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6.2305143092012947E-7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1.9695326452132745E-7</v>
      </c>
      <c r="L751" s="18">
        <f t="shared" ref="L751" si="846">IFERROR(L$737/L$735,0)*L739</f>
        <v>1.2511494385192687E-5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1.9695326452132745E-7</v>
      </c>
      <c r="L752" s="18">
        <f t="shared" ref="L752" si="848">IFERROR(L$737/L$735,0)*L740</f>
        <v>1.2511494385192687E-5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2.1455981030813883E-6</v>
      </c>
      <c r="L753" s="18">
        <f t="shared" ref="L753" si="852">IFERROR(L$737/L$735,0)*L741</f>
        <v>1.6801828349800908E-2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1.3392483197692602E-6</v>
      </c>
      <c r="L754" s="18">
        <f t="shared" ref="L754" si="854">IFERROR(L$737/L$735,0)*L742</f>
        <v>4.753895234028061E-3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6.325776730587502E-7</v>
      </c>
      <c r="L755" s="18">
        <f t="shared" ref="L755" si="856">IFERROR(L$737/L$735,0)*L743</f>
        <v>1.2047933115772846E-2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1.7377211025337776E-7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1.8662088355716048E-13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1.8662088355716048E-13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2.0330377093711823E-12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1.2689899065405825E-12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5.9939196515309877E-13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1.6465583767750127E-13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142.21747231569131</v>
      </c>
      <c r="G763" s="17">
        <f t="shared" si="875"/>
        <v>142.38203408666604</v>
      </c>
      <c r="H763" s="17">
        <f t="shared" si="875"/>
        <v>147.2819083031282</v>
      </c>
      <c r="I763" s="17">
        <f t="shared" si="875"/>
        <v>144.69018135229624</v>
      </c>
      <c r="J763" s="17">
        <f t="shared" si="875"/>
        <v>141.89243415394847</v>
      </c>
      <c r="K763" s="17">
        <f t="shared" si="875"/>
        <v>137.31637601076682</v>
      </c>
      <c r="L763" s="17">
        <f t="shared" ref="L763" si="876">L764+L768+L778+L789+L791+L803+L805+L807+L811+L813+L815</f>
        <v>139.74695309285309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66.872315116967215</v>
      </c>
      <c r="K764" s="18">
        <f>[2]Industry!G$11</f>
        <v>65.835097897884069</v>
      </c>
      <c r="L764" s="18">
        <f>[2]Industry!H$11</f>
        <v>69.826482979598552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11.646955033815793</v>
      </c>
      <c r="G765" s="1">
        <f t="shared" si="878"/>
        <v>12.258978985464751</v>
      </c>
      <c r="H765" s="1">
        <f t="shared" si="878"/>
        <v>12.535511084347092</v>
      </c>
      <c r="I765" s="1">
        <f t="shared" si="878"/>
        <v>12.518942389803271</v>
      </c>
      <c r="J765" s="1">
        <f t="shared" si="878"/>
        <v>12.502394110261903</v>
      </c>
      <c r="K765" s="1">
        <f>K764-K766-K767</f>
        <v>12.485902999706298</v>
      </c>
      <c r="L765" s="1">
        <f>L764-L766-L767</f>
        <v>12.602224289614917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2.0338779095692412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1.9964681959051624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2.555340024600167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52.33604309713607</v>
      </c>
      <c r="K767" s="1">
        <f>[2]Industry!G$11-[2]Industry!G$33</f>
        <v>51.352726702272605</v>
      </c>
      <c r="L767" s="1">
        <f>[2]Industry!H$11-[2]Industry!H$33</f>
        <v>54.668918665383465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79">SUM(G771,G776)</f>
        <v>10.510680507307132</v>
      </c>
      <c r="H768" s="1">
        <f t="shared" si="879"/>
        <v>8.2607757795874353</v>
      </c>
      <c r="I768" s="1">
        <f t="shared" si="879"/>
        <v>6.4577529886287621</v>
      </c>
      <c r="J768" s="1">
        <f t="shared" si="879"/>
        <v>4.7513375280593415</v>
      </c>
      <c r="K768" s="1">
        <f t="shared" si="879"/>
        <v>4.7324469375571194</v>
      </c>
      <c r="L768" s="1">
        <f t="shared" ref="L768" si="880">SUM(L771,L776)</f>
        <v>1.021827719857179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81">SUM(G773,G777)</f>
        <v>8.105527953944403</v>
      </c>
      <c r="H769" s="1">
        <f t="shared" si="881"/>
        <v>8.2567376645275097</v>
      </c>
      <c r="I769" s="1">
        <f t="shared" si="881"/>
        <v>6.4570313543237923</v>
      </c>
      <c r="J769" s="1">
        <f t="shared" si="881"/>
        <v>4.7512325490985674</v>
      </c>
      <c r="K769" s="1">
        <f t="shared" si="881"/>
        <v>4.7320652935472634</v>
      </c>
      <c r="L769" s="1">
        <f t="shared" ref="L769" si="882">SUM(L773,L777)</f>
        <v>1.021827719857179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83">G775</f>
        <v>2.4051525533627287</v>
      </c>
      <c r="H770" s="1">
        <f t="shared" si="883"/>
        <v>4.0381150599249392E-3</v>
      </c>
      <c r="I770" s="1">
        <f t="shared" si="883"/>
        <v>7.2163430496974355E-4</v>
      </c>
      <c r="J770" s="1">
        <f t="shared" si="883"/>
        <v>1.0497896077385347E-4</v>
      </c>
      <c r="K770" s="1">
        <f t="shared" si="883"/>
        <v>3.8164400985663037E-4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85">SUM(G772,G774)</f>
        <v>10.510680507307132</v>
      </c>
      <c r="H771" s="1">
        <f t="shared" si="885"/>
        <v>8.2607162318409877</v>
      </c>
      <c r="I771" s="1">
        <f t="shared" si="885"/>
        <v>5.3058162214960856</v>
      </c>
      <c r="J771" s="1">
        <f t="shared" si="885"/>
        <v>3.8526666810266734</v>
      </c>
      <c r="K771" s="1">
        <f t="shared" si="885"/>
        <v>3.7106193149070745</v>
      </c>
      <c r="L771" s="1">
        <f t="shared" ref="L771" si="886">SUM(L772,L774)</f>
        <v>0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3.8525617020658998</v>
      </c>
      <c r="K772" s="1">
        <f>[2]Industry!G$34</f>
        <v>3.710237670897218</v>
      </c>
      <c r="L772" s="1">
        <f>[2]Industry!H$34</f>
        <v>0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87">G772</f>
        <v>8.105527953944403</v>
      </c>
      <c r="H773" s="1">
        <f t="shared" si="887"/>
        <v>8.2566781167810621</v>
      </c>
      <c r="I773" s="1">
        <f t="shared" si="887"/>
        <v>5.3050945871911157</v>
      </c>
      <c r="J773" s="1">
        <f t="shared" si="887"/>
        <v>3.8525617020658998</v>
      </c>
      <c r="K773" s="1">
        <f t="shared" si="887"/>
        <v>3.710237670897218</v>
      </c>
      <c r="L773" s="1">
        <f t="shared" ref="L773" si="888">L772</f>
        <v>0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1.0497896077385347E-4</v>
      </c>
      <c r="K774" s="1">
        <f>[2]Industry!G$35</f>
        <v>3.8164400985663037E-4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89">G774</f>
        <v>2.4051525533627287</v>
      </c>
      <c r="H775" s="1">
        <f t="shared" si="889"/>
        <v>4.0381150599249392E-3</v>
      </c>
      <c r="I775" s="1">
        <f t="shared" si="889"/>
        <v>7.2163430496974355E-4</v>
      </c>
      <c r="J775" s="1">
        <f t="shared" si="889"/>
        <v>1.0497896077385347E-4</v>
      </c>
      <c r="K775" s="1">
        <f t="shared" si="889"/>
        <v>3.8164400985663037E-4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0.89867084703266775</v>
      </c>
      <c r="K776" s="1">
        <f>[2]Industry!G$36</f>
        <v>1.0218276226500449</v>
      </c>
      <c r="L776" s="1">
        <f>[2]Industry!H$36</f>
        <v>1.021827719857179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5.9547746448404956E-5</v>
      </c>
      <c r="I777" s="1">
        <f t="shared" si="891"/>
        <v>1.151936767132677</v>
      </c>
      <c r="J777" s="1">
        <f t="shared" si="891"/>
        <v>0.89867084703266775</v>
      </c>
      <c r="K777" s="1">
        <f t="shared" si="891"/>
        <v>1.0218276226500449</v>
      </c>
      <c r="L777" s="1">
        <f t="shared" ref="L777" si="892">L776</f>
        <v>1.021827719857179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21.189394638830109</v>
      </c>
      <c r="K778" s="1">
        <f>SUM([2]Industry!G$37:G$39)</f>
        <v>17.47358367077808</v>
      </c>
      <c r="L778" s="1">
        <f>SUM([2]Industry!H$37:H$39)</f>
        <v>12.570434645072183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11.925368338783715</v>
      </c>
      <c r="K779" s="1">
        <f>SUM([2]Industry!G$37:G$38)-K780</f>
        <v>6.7939303657275207</v>
      </c>
      <c r="L779" s="1">
        <f>SUM([2]Industry!H$37:H$38)-L780</f>
        <v>1.4761533780236364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0.43986329971836824</v>
      </c>
      <c r="G781" s="1">
        <f t="shared" si="897"/>
        <v>0.55297876077880659</v>
      </c>
      <c r="H781" s="1">
        <f t="shared" si="897"/>
        <v>4.0602271117473094</v>
      </c>
      <c r="I781" s="1">
        <f t="shared" si="897"/>
        <v>8.2117635912634483</v>
      </c>
      <c r="J781" s="1">
        <f t="shared" si="897"/>
        <v>9.2640263000463943</v>
      </c>
      <c r="K781" s="1">
        <f t="shared" si="897"/>
        <v>10.679653305050559</v>
      </c>
      <c r="L781" s="1">
        <f t="shared" ref="L781" si="898">L778-L779</f>
        <v>11.094281267048547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9.6560360515828236</v>
      </c>
      <c r="K782" s="1">
        <f>[2]Industry!G$37</f>
        <v>4.9060322917340589</v>
      </c>
      <c r="L782" s="1">
        <f>[2]Industry!H$37</f>
        <v>0.43473693801921309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9.6560360515828236</v>
      </c>
      <c r="K783" s="1">
        <f>[2]Industry!G$37*K779/SUM(K779:K780)</f>
        <v>4.9060322917340589</v>
      </c>
      <c r="L783" s="1">
        <f>[2]Industry!H$37*L779/SUM(L779:L780)</f>
        <v>0.43473693801921309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903">G782-G783</f>
        <v>9.1107359727260473E-4</v>
      </c>
      <c r="H784" s="1">
        <f t="shared" si="903"/>
        <v>1.2930500025234437E-3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905">SUM(G786:G788)</f>
        <v>0.55222868151840443</v>
      </c>
      <c r="H785" s="1">
        <f t="shared" si="905"/>
        <v>6.385261435317255</v>
      </c>
      <c r="I785" s="1">
        <f t="shared" si="905"/>
        <v>10.469566378675347</v>
      </c>
      <c r="J785" s="1">
        <f t="shared" si="905"/>
        <v>11.533358587247287</v>
      </c>
      <c r="K785" s="1">
        <f t="shared" si="905"/>
        <v>12.567551379044021</v>
      </c>
      <c r="L785" s="1">
        <f t="shared" ref="L785" si="906">SUM(L786:L788)</f>
        <v>12.135697707052971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2.2693322872008905</v>
      </c>
      <c r="K786" s="1">
        <f>[2]Industry!G$38*K779/SUM(K779:K780)</f>
        <v>1.8878980739934625</v>
      </c>
      <c r="L786" s="1">
        <f>[2]Industry!H$38*L779/SUM(L779:L780)</f>
        <v>1.0414164400044232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9.264026300046396</v>
      </c>
      <c r="K788" s="1">
        <f>[2]Industry!G$39</f>
        <v>10.679653305050559</v>
      </c>
      <c r="L788" s="1">
        <f>[2]Industry!H$39</f>
        <v>11.094281267048547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7.624269233838792E-5</v>
      </c>
      <c r="K789" s="1">
        <f>[2]Industry!G$18</f>
        <v>2.5477775756180704E-4</v>
      </c>
      <c r="L789" s="1">
        <f>[2]Industry!H$18</f>
        <v>6.2873572181124671E-5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909">G789</f>
        <v>3.4647179462125965</v>
      </c>
      <c r="H790" s="1">
        <f t="shared" si="909"/>
        <v>2.9051390792505381E-2</v>
      </c>
      <c r="I790" s="1">
        <f t="shared" si="909"/>
        <v>5.8653485837291939E-4</v>
      </c>
      <c r="J790" s="1">
        <f t="shared" si="909"/>
        <v>7.624269233838792E-5</v>
      </c>
      <c r="K790" s="1">
        <f t="shared" si="909"/>
        <v>2.5477775756180704E-4</v>
      </c>
      <c r="L790" s="1">
        <f t="shared" ref="L790" si="910">L789</f>
        <v>6.2873572181124671E-5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14.194327305021982</v>
      </c>
      <c r="K791" s="1">
        <f>[2]Industry!G$19</f>
        <v>15.235958087577847</v>
      </c>
      <c r="L791" s="1">
        <f>[2]Industry!H$19</f>
        <v>21.298155566423812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13">SUM(G793:G801)</f>
        <v>5.8480759549931776</v>
      </c>
      <c r="H792" s="1">
        <f t="shared" si="913"/>
        <v>5.5152551906922955</v>
      </c>
      <c r="I792" s="1">
        <f t="shared" si="913"/>
        <v>5.9430116232050203</v>
      </c>
      <c r="J792" s="1">
        <f t="shared" si="913"/>
        <v>6.5825150378609889</v>
      </c>
      <c r="K792" s="1">
        <f t="shared" si="913"/>
        <v>7.6325765206040277</v>
      </c>
      <c r="L792" s="1">
        <f t="shared" ref="L792" si="914">SUM(L793:L801)</f>
        <v>11.919181834091463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17">G235</f>
        <v>2.069725559294302</v>
      </c>
      <c r="H793" s="1">
        <f t="shared" si="917"/>
        <v>1.4615311602964836</v>
      </c>
      <c r="I793" s="1">
        <f t="shared" si="917"/>
        <v>1.3081997356338326</v>
      </c>
      <c r="J793" s="1">
        <f t="shared" si="917"/>
        <v>0.84999848398276812</v>
      </c>
      <c r="K793" s="1">
        <f t="shared" si="917"/>
        <v>0</v>
      </c>
      <c r="L793" s="1">
        <f t="shared" ref="L793" si="918">L235</f>
        <v>0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19">G241</f>
        <v>0.10289610885056202</v>
      </c>
      <c r="H794" s="1">
        <f t="shared" si="919"/>
        <v>0.60391520582834257</v>
      </c>
      <c r="I794" s="1">
        <f t="shared" si="919"/>
        <v>0.7253207766344294</v>
      </c>
      <c r="J794" s="1">
        <f t="shared" si="919"/>
        <v>0.37696752282978785</v>
      </c>
      <c r="K794" s="1">
        <f t="shared" si="919"/>
        <v>0.75759616097671922</v>
      </c>
      <c r="L794" s="1">
        <f t="shared" ref="L794" si="920">L241</f>
        <v>0.46904541768733438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8.2111270757630759E-4</v>
      </c>
      <c r="L795" s="1">
        <f t="shared" ref="L795" si="922">L242</f>
        <v>0.27119776837085491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2.8652573710030916E-4</v>
      </c>
      <c r="J796" s="1">
        <f t="shared" si="923"/>
        <v>5.3117390057122099E-5</v>
      </c>
      <c r="K796" s="1">
        <f t="shared" si="923"/>
        <v>1.5653598820766524E-4</v>
      </c>
      <c r="L796" s="1">
        <f t="shared" ref="L796" si="924">L243</f>
        <v>9.0667467602273814E-5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25">G274</f>
        <v>1.8587704969302237</v>
      </c>
      <c r="H797" s="1">
        <f t="shared" si="925"/>
        <v>9.6126317261569661E-3</v>
      </c>
      <c r="I797" s="1">
        <f t="shared" si="925"/>
        <v>8.8029153962608606E-3</v>
      </c>
      <c r="J797" s="1">
        <f t="shared" si="925"/>
        <v>9.0932782202831795E-4</v>
      </c>
      <c r="K797" s="1">
        <f t="shared" si="925"/>
        <v>1.2170614117794662E-3</v>
      </c>
      <c r="L797" s="1">
        <f t="shared" ref="L797" si="926">L274</f>
        <v>3.9839216662840293E-5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3.6599916095814313E-4</v>
      </c>
      <c r="L798" s="1">
        <f t="shared" ref="L798" si="928">L275</f>
        <v>0.9897541862385133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29">G283</f>
        <v>1.8166837899180892</v>
      </c>
      <c r="H799" s="1">
        <f t="shared" si="929"/>
        <v>3.4401961928413129</v>
      </c>
      <c r="I799" s="1">
        <f t="shared" si="929"/>
        <v>3.8721735214540298</v>
      </c>
      <c r="J799" s="1">
        <f t="shared" si="929"/>
        <v>5.3531079398543993</v>
      </c>
      <c r="K799" s="1">
        <f t="shared" si="929"/>
        <v>3.7462470586995313</v>
      </c>
      <c r="L799" s="1">
        <f t="shared" ref="L799" si="930">L283</f>
        <v>3.0824672312213206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3.1217262660465148</v>
      </c>
      <c r="L800" s="1">
        <f t="shared" ref="L800" si="932">L284</f>
        <v>5.965818530698014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2.8228148349367144E-2</v>
      </c>
      <c r="J801" s="1">
        <f t="shared" si="933"/>
        <v>1.4786459819484744E-3</v>
      </c>
      <c r="K801" s="1">
        <f t="shared" si="933"/>
        <v>4.4463256127398243E-3</v>
      </c>
      <c r="L801" s="1">
        <f t="shared" ref="L801" si="934">L289</f>
        <v>1.1407681931911606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7.6289061057136474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7.628898783964126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8.5591144246908701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35">G804</f>
        <v>10.609944326334386</v>
      </c>
      <c r="H803" s="1">
        <f t="shared" si="935"/>
        <v>5.953150799990536</v>
      </c>
      <c r="I803" s="1">
        <f t="shared" si="935"/>
        <v>5.6453037729886955</v>
      </c>
      <c r="J803" s="1">
        <f t="shared" si="935"/>
        <v>6.2559481042158644</v>
      </c>
      <c r="K803" s="1">
        <f t="shared" si="935"/>
        <v>5.6249574990346112</v>
      </c>
      <c r="L803" s="1">
        <f t="shared" si="935"/>
        <v>10.045807886348472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6.2559481042158644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5.6249574990346112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10.045807886348472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37">G806</f>
        <v>0.73757504239591842</v>
      </c>
      <c r="H805" s="1">
        <f t="shared" si="937"/>
        <v>4.1320262560192482</v>
      </c>
      <c r="I805" s="1">
        <f t="shared" si="937"/>
        <v>4.1204293641236873</v>
      </c>
      <c r="J805" s="1">
        <f t="shared" si="937"/>
        <v>4.1712318979614746</v>
      </c>
      <c r="K805" s="1">
        <f t="shared" si="937"/>
        <v>4.1595806415955767</v>
      </c>
      <c r="L805" s="1">
        <f t="shared" si="937"/>
        <v>4.1364722827794695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4.1712318979614746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4.1595806415955767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4.1364722827794695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10.792286122901059</v>
      </c>
      <c r="K807" s="1">
        <f>[2]Industry!G$21</f>
        <v>10.735113520195601</v>
      </c>
      <c r="L807" s="1">
        <f>[2]Industry!H$21</f>
        <v>5.3999663862897878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39">G807</f>
        <v>8.0801715915375709</v>
      </c>
      <c r="H808" s="1">
        <f t="shared" si="939"/>
        <v>11.020961760608442</v>
      </c>
      <c r="I808" s="1">
        <f t="shared" si="939"/>
        <v>10.897032272286987</v>
      </c>
      <c r="J808" s="1">
        <f t="shared" si="939"/>
        <v>10.792286122901059</v>
      </c>
      <c r="K808" s="1">
        <f t="shared" si="939"/>
        <v>10.735113520195601</v>
      </c>
      <c r="L808" s="1">
        <f t="shared" ref="L808" si="940">L807</f>
        <v>5.3999663862897878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41">G808</f>
        <v>8.0801715915375709</v>
      </c>
      <c r="H810" s="1">
        <f t="shared" si="941"/>
        <v>11.020961760608442</v>
      </c>
      <c r="I810" s="1">
        <f t="shared" si="941"/>
        <v>10.897032272286987</v>
      </c>
      <c r="J810" s="1">
        <f t="shared" si="941"/>
        <v>10.792286122901059</v>
      </c>
      <c r="K810" s="1">
        <f t="shared" si="941"/>
        <v>10.735113520195601</v>
      </c>
      <c r="L810" s="1">
        <f t="shared" ref="L810" si="942">L808</f>
        <v>5.3999663862897878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8.5476441170395337E-2</v>
      </c>
      <c r="K811" s="1">
        <f>[2]Industry!G$22</f>
        <v>5.8706440621148936E-2</v>
      </c>
      <c r="L811" s="1">
        <f>[2]Industry!H$22</f>
        <v>5.301562898562457E-2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45">G811</f>
        <v>8.5493008233653592E-2</v>
      </c>
      <c r="H812" s="1">
        <f t="shared" si="945"/>
        <v>8.4165697869743025E-2</v>
      </c>
      <c r="I812" s="1">
        <f t="shared" si="945"/>
        <v>8.6333798014645663E-2</v>
      </c>
      <c r="J812" s="1">
        <f t="shared" si="945"/>
        <v>8.5476441170395337E-2</v>
      </c>
      <c r="K812" s="1">
        <f t="shared" si="945"/>
        <v>5.8706440621148936E-2</v>
      </c>
      <c r="L812" s="1">
        <f t="shared" ref="L812" si="946">L811</f>
        <v>5.301562898562457E-2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8.9726961624050716</v>
      </c>
      <c r="K813" s="1">
        <f>[2]Industry!G$23</f>
        <v>8.8157057628934457</v>
      </c>
      <c r="L813" s="1">
        <f>[2]Industry!H$23</f>
        <v>9.1356613956033161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0.10931224052895361</v>
      </c>
      <c r="J814" s="1">
        <f t="shared" si="949"/>
        <v>8.9726961624050716</v>
      </c>
      <c r="K814" s="1">
        <f t="shared" si="949"/>
        <v>8.8157057628934457</v>
      </c>
      <c r="L814" s="1">
        <f t="shared" ref="L814" si="950">L813</f>
        <v>9.1356613956033161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4.6073445937236501</v>
      </c>
      <c r="K815" s="1">
        <f>[2]Industry!G$24</f>
        <v>4.6449707748717532</v>
      </c>
      <c r="L815" s="1">
        <f>[2]Industry!H$24</f>
        <v>6.2590657283225219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4.6070586739502133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4.6448893377294986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6.2588955382113376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7.3546003814874972E-3</v>
      </c>
      <c r="I817" s="1">
        <f t="shared" si="955"/>
        <v>4.0378853263334236E-3</v>
      </c>
      <c r="J817" s="1">
        <f t="shared" si="955"/>
        <v>2.8591977343683794E-4</v>
      </c>
      <c r="K817" s="1">
        <f t="shared" si="955"/>
        <v>8.1437142254614514E-5</v>
      </c>
      <c r="L817" s="1">
        <f t="shared" ref="L817" si="956">L815-L816</f>
        <v>1.7019011118435401E-4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77.729128518096203</v>
      </c>
      <c r="K818" s="17">
        <f>[2]Industry!G$71</f>
        <v>78.303745271574897</v>
      </c>
      <c r="L818" s="17">
        <f>[2]Industry!H$71</f>
        <v>79.095041890518971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57">SUM(G820:G822)</f>
        <v>60.569252362867253</v>
      </c>
      <c r="H819" s="18">
        <f t="shared" si="957"/>
        <v>63.614472871673343</v>
      </c>
      <c r="I819" s="18">
        <f t="shared" si="957"/>
        <v>69.04874493085191</v>
      </c>
      <c r="J819" s="18">
        <f t="shared" si="957"/>
        <v>69.553602886436977</v>
      </c>
      <c r="K819" s="18">
        <f t="shared" si="957"/>
        <v>68.570690290609377</v>
      </c>
      <c r="L819" s="18">
        <f t="shared" ref="L819" si="958">SUM(L820:L822)</f>
        <v>72.00133452550503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10.576618431378886</v>
      </c>
      <c r="K820" s="1">
        <f>[2]Industry!G$55</f>
        <v>10.576618479000622</v>
      </c>
      <c r="L820" s="1">
        <f>[2]Industry!H$55</f>
        <v>10.703314395395418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6.6409365835194549</v>
      </c>
      <c r="K821" s="1">
        <f>[2]Industry!G$56</f>
        <v>6.6413575336346611</v>
      </c>
      <c r="L821" s="1">
        <f>[2]Industry!H$56</f>
        <v>8.8142355628115041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52.336047871538639</v>
      </c>
      <c r="K822" s="1">
        <f>[2]Industry!G$3-([2]Industry!G$6-[2]Industry!G$70)</f>
        <v>51.352714277974087</v>
      </c>
      <c r="L822" s="1">
        <f>[2]Industry!H$3-([2]Industry!H$6-[2]Industry!H$70)</f>
        <v>52.483784567298116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60">SUM(G824:G825)</f>
        <v>7.9451546427839332</v>
      </c>
      <c r="H823" s="1">
        <f t="shared" si="960"/>
        <v>6.4480230190947436</v>
      </c>
      <c r="I823" s="1">
        <f t="shared" si="960"/>
        <v>5.0612025994754335</v>
      </c>
      <c r="J823" s="1">
        <f t="shared" si="960"/>
        <v>3.738795762182185</v>
      </c>
      <c r="K823" s="1">
        <f t="shared" si="960"/>
        <v>3.7387884875697988</v>
      </c>
      <c r="L823" s="1">
        <f t="shared" ref="L823" si="961">SUM(L824:L825)</f>
        <v>0.81371046728597207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3.7387224803063797</v>
      </c>
      <c r="K824" s="1">
        <f>[2]Industry!G$57</f>
        <v>3.7385192854263463</v>
      </c>
      <c r="L824" s="1">
        <f>[2]Industry!H$57</f>
        <v>0.81371046728597207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7.3281875805198077E-5</v>
      </c>
      <c r="K825" s="1">
        <f>[2]Industry!G$58</f>
        <v>2.692021434526203E-4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62">SUM(G827:G829)</f>
        <v>26.344217915994758</v>
      </c>
      <c r="H826" s="1">
        <f t="shared" si="962"/>
        <v>30.492355835882435</v>
      </c>
      <c r="I826" s="1">
        <f t="shared" si="962"/>
        <v>25.237593875716232</v>
      </c>
      <c r="J826" s="1">
        <f t="shared" si="962"/>
        <v>16.465530820207245</v>
      </c>
      <c r="K826" s="1">
        <f t="shared" si="962"/>
        <v>13.214208671816147</v>
      </c>
      <c r="L826" s="1">
        <f t="shared" ref="L826" si="963">SUM(L827:L829)</f>
        <v>9.2291843466974299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9.878224087260234</v>
      </c>
      <c r="K827" s="1">
        <f>[2]Industry!G$59</f>
        <v>5.6208119649913915</v>
      </c>
      <c r="L827" s="1">
        <f>[2]Industry!H$59</f>
        <v>1.2409725292103229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5.8403361402504953E-4</v>
      </c>
      <c r="K828" s="1">
        <f>[2]Industry!G$60</f>
        <v>1.6320693380983528E-4</v>
      </c>
      <c r="L828" s="1">
        <f>[2]Industry!H$60</f>
        <v>3.2930521215328377E-4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6.586722699332987</v>
      </c>
      <c r="K829" s="1">
        <f>[2]Industry!G$68</f>
        <v>7.5932334998909452</v>
      </c>
      <c r="L829" s="1">
        <f>[2]Industry!H$68</f>
        <v>7.9878825122749539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66">G831</f>
        <v>2.3075021521775896</v>
      </c>
      <c r="H830" s="1">
        <f t="shared" si="966"/>
        <v>1.9391803353997341E-2</v>
      </c>
      <c r="I830" s="1">
        <f t="shared" si="966"/>
        <v>3.9297835510985574E-4</v>
      </c>
      <c r="J830" s="1">
        <f t="shared" si="966"/>
        <v>5.127321059756583E-5</v>
      </c>
      <c r="K830" s="1">
        <f t="shared" si="966"/>
        <v>1.7197498635421974E-4</v>
      </c>
      <c r="L830" s="1">
        <f t="shared" si="966"/>
        <v>4.2754029083164795E-5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5.127321059756583E-5</v>
      </c>
      <c r="K831" s="1">
        <f>[2]Industry!G$61</f>
        <v>1.7197498635421974E-4</v>
      </c>
      <c r="L831" s="1">
        <f>[2]Industry!H$61</f>
        <v>4.2754029083164795E-5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67">G833+G843</f>
        <v>12.635408666371939</v>
      </c>
      <c r="H832" s="1">
        <f t="shared" si="967"/>
        <v>12.969711481664916</v>
      </c>
      <c r="I832" s="1">
        <f t="shared" si="967"/>
        <v>13.328829392105245</v>
      </c>
      <c r="J832" s="1">
        <f t="shared" si="967"/>
        <v>13.333115247601445</v>
      </c>
      <c r="K832" s="1">
        <f t="shared" si="967"/>
        <v>14.387099677269322</v>
      </c>
      <c r="L832" s="1">
        <f t="shared" ref="L832" si="968">L833+L843</f>
        <v>19.425987016898901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6.167077566856781</v>
      </c>
      <c r="K833" s="1">
        <f>[2]Industry!G$62</f>
        <v>7.1833038842212895</v>
      </c>
      <c r="L833" s="1">
        <f>[2]Industry!H$62</f>
        <v>11.294828313442572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69">IFERROR(G793/G$792,0)*G$833</f>
        <v>1.970446264512169</v>
      </c>
      <c r="H834" s="1">
        <f t="shared" si="969"/>
        <v>1.557976596073652</v>
      </c>
      <c r="I834" s="1">
        <f t="shared" si="969"/>
        <v>1.3648908908275061</v>
      </c>
      <c r="J834" s="1">
        <f t="shared" si="969"/>
        <v>0.79635314956087222</v>
      </c>
      <c r="K834" s="1">
        <f t="shared" si="969"/>
        <v>0</v>
      </c>
      <c r="L834" s="1">
        <f t="shared" ref="L834" si="970">IFERROR(L793/L$792,0)*L$833</f>
        <v>0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0.93292977277215539</v>
      </c>
      <c r="G835" s="1">
        <f t="shared" si="971"/>
        <v>9.7960452972595063E-2</v>
      </c>
      <c r="H835" s="1">
        <f t="shared" si="971"/>
        <v>0.6437671547849132</v>
      </c>
      <c r="I835" s="1">
        <f t="shared" si="971"/>
        <v>0.75675272971723262</v>
      </c>
      <c r="J835" s="1">
        <f t="shared" si="971"/>
        <v>0.35317624648110246</v>
      </c>
      <c r="K835" s="1">
        <f t="shared" si="971"/>
        <v>0.71300214693223041</v>
      </c>
      <c r="L835" s="1">
        <f t="shared" ref="L835" si="972">IFERROR(L794/L$792,0)*L$833</f>
        <v>0.44447576500868313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7.7277994996761197E-4</v>
      </c>
      <c r="L836" s="1">
        <f t="shared" ref="L836" si="973">IFERROR(L795/L$792,0)*L$833</f>
        <v>0.25699182002378262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2.9894239992822607E-4</v>
      </c>
      <c r="J837" s="1">
        <f t="shared" si="971"/>
        <v>4.976503095657296E-5</v>
      </c>
      <c r="K837" s="1">
        <f t="shared" si="971"/>
        <v>1.4732188653164701E-4</v>
      </c>
      <c r="L837" s="1">
        <f t="shared" ref="L837" si="974">IFERROR(L796/L$792,0)*L$833</f>
        <v>8.5918101966799912E-5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2.3344373505229341</v>
      </c>
      <c r="G838" s="1">
        <f t="shared" si="971"/>
        <v>1.7696101619919105</v>
      </c>
      <c r="H838" s="1">
        <f t="shared" si="971"/>
        <v>1.0246962680555895E-2</v>
      </c>
      <c r="I838" s="1">
        <f t="shared" si="971"/>
        <v>9.1843918858921705E-3</v>
      </c>
      <c r="J838" s="1">
        <f t="shared" si="971"/>
        <v>8.5193807836280767E-4</v>
      </c>
      <c r="K838" s="1">
        <f t="shared" si="971"/>
        <v>1.1454221183333016E-3</v>
      </c>
      <c r="L838" s="1">
        <f t="shared" ref="L838" si="975">IFERROR(L797/L$792,0)*L$833</f>
        <v>3.7752348996118917E-5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3.4445553050600818E-4</v>
      </c>
      <c r="L839" s="1">
        <f t="shared" ref="L839" si="976">IFERROR(L798/L$792,0)*L$833</f>
        <v>0.93790863850238404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0.79665455010072594</v>
      </c>
      <c r="G840" s="1">
        <f t="shared" si="971"/>
        <v>1.7295422436897594</v>
      </c>
      <c r="H840" s="1">
        <f t="shared" si="971"/>
        <v>3.6672123728523021</v>
      </c>
      <c r="I840" s="1">
        <f t="shared" si="971"/>
        <v>4.0399751071463132</v>
      </c>
      <c r="J840" s="1">
        <f t="shared" si="971"/>
        <v>5.0152611424290319</v>
      </c>
      <c r="K840" s="1">
        <f t="shared" si="971"/>
        <v>3.5257335416637638</v>
      </c>
      <c r="L840" s="1">
        <f t="shared" ref="L840" si="977">IFERROR(L799/L$792,0)*L$833</f>
        <v>2.9210006729552793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2.9379736124273976</v>
      </c>
      <c r="L841" s="1">
        <f t="shared" ref="L841" si="978">IFERROR(L800/L$792,0)*L$833</f>
        <v>5.6533155539802662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2.9451422055448928E-2</v>
      </c>
      <c r="J842" s="1">
        <f t="shared" si="971"/>
        <v>1.385325276455514E-3</v>
      </c>
      <c r="K842" s="1">
        <f t="shared" si="971"/>
        <v>4.1846037125585168E-3</v>
      </c>
      <c r="L842" s="1">
        <f t="shared" ref="L842" si="979">IFERROR(L801/L$792,0)*L$833</f>
        <v>1.0810121925212148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7.1660376807446635</v>
      </c>
      <c r="K843" s="1">
        <f>[2]Industry!G$63</f>
        <v>7.203795793048033</v>
      </c>
      <c r="L843" s="1">
        <f>[2]Industry!H$63</f>
        <v>8.1311587034563271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80">G845</f>
        <v>6.2669404487548341</v>
      </c>
      <c r="H844" s="1">
        <f t="shared" si="980"/>
        <v>3.5222808899944016</v>
      </c>
      <c r="I844" s="1">
        <f t="shared" si="980"/>
        <v>3.3495469053066258</v>
      </c>
      <c r="J844" s="1">
        <f t="shared" si="980"/>
        <v>3.7222891220084411</v>
      </c>
      <c r="K844" s="1">
        <f t="shared" si="980"/>
        <v>3.3562246410906527</v>
      </c>
      <c r="L844" s="1">
        <f t="shared" si="980"/>
        <v>6.0274847318090821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3.7222891220084411</v>
      </c>
      <c r="K845" s="1">
        <f>[2]Industry!G$64</f>
        <v>3.3562246410906527</v>
      </c>
      <c r="L845" s="1">
        <f>[2]Industry!H$64</f>
        <v>6.0274847318090821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81">G847</f>
        <v>0.54457623963565305</v>
      </c>
      <c r="H846" s="1">
        <f t="shared" si="981"/>
        <v>3.0559777518475681</v>
      </c>
      <c r="I846" s="1">
        <f t="shared" si="981"/>
        <v>3.0559851117250689</v>
      </c>
      <c r="J846" s="1">
        <f t="shared" si="981"/>
        <v>3.102353724108847</v>
      </c>
      <c r="K846" s="1">
        <f t="shared" si="981"/>
        <v>3.1023538951900327</v>
      </c>
      <c r="L846" s="1">
        <f t="shared" si="981"/>
        <v>3.1023542120846033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3.102353724108847</v>
      </c>
      <c r="K847" s="1">
        <f>[2]Industry!G$65</f>
        <v>3.1023538951900327</v>
      </c>
      <c r="L847" s="1">
        <f>[2]Industry!H$65</f>
        <v>3.1023542120846033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82">G849</f>
        <v>4.2663306003318366</v>
      </c>
      <c r="H848" s="1">
        <f t="shared" si="982"/>
        <v>5.8190678096012602</v>
      </c>
      <c r="I848" s="1">
        <f t="shared" si="982"/>
        <v>5.7536330397675322</v>
      </c>
      <c r="J848" s="1">
        <f t="shared" si="982"/>
        <v>5.698327072891761</v>
      </c>
      <c r="K848" s="1">
        <f t="shared" si="982"/>
        <v>5.6681399386632858</v>
      </c>
      <c r="L848" s="1">
        <f t="shared" si="982"/>
        <v>2.937581714141642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5.698327072891761</v>
      </c>
      <c r="K849" s="1">
        <f>[2]Industry!G$66</f>
        <v>5.6681399386632858</v>
      </c>
      <c r="L849" s="1">
        <f>[2]Industry!H$66</f>
        <v>2.937581714141642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83">G851</f>
        <v>8.5493008233653592E-2</v>
      </c>
      <c r="H850" s="1">
        <f t="shared" si="983"/>
        <v>8.4165697869743025E-2</v>
      </c>
      <c r="I850" s="1">
        <f t="shared" si="983"/>
        <v>8.6333798014645663E-2</v>
      </c>
      <c r="J850" s="1">
        <f t="shared" si="983"/>
        <v>8.5476441170395337E-2</v>
      </c>
      <c r="K850" s="1">
        <f t="shared" si="983"/>
        <v>5.8706440621148936E-2</v>
      </c>
      <c r="L850" s="1">
        <f t="shared" si="983"/>
        <v>5.301562898562457E-2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8.5476441170395337E-2</v>
      </c>
      <c r="K851" s="1">
        <f>[2]Industry!G$67</f>
        <v>5.8706440621148936E-2</v>
      </c>
      <c r="L851" s="1">
        <f>[2]Industry!H$67</f>
        <v>5.301562898562457E-2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1.9262429781348192E-2</v>
      </c>
      <c r="J852" s="1">
        <f t="shared" si="984"/>
        <v>7.0243104818070101</v>
      </c>
      <c r="K852" s="1">
        <f t="shared" si="984"/>
        <v>7.0243117906514296</v>
      </c>
      <c r="L852" s="1">
        <f t="shared" si="984"/>
        <v>7.381578640427179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7.0243104818070101</v>
      </c>
      <c r="K853" s="1">
        <f>[2]Industry!G$69</f>
        <v>7.0243117906514296</v>
      </c>
      <c r="L853" s="1">
        <f>[2]Industry!H$69</f>
        <v>7.381578640427179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2.0834212741786553</v>
      </c>
      <c r="H854" s="1">
        <f t="shared" si="985"/>
        <v>2.0834208468838362</v>
      </c>
      <c r="I854" s="1">
        <f t="shared" si="985"/>
        <v>5.5431808463981351</v>
      </c>
      <c r="J854" s="1">
        <f t="shared" si="985"/>
        <v>9.8813505450379129</v>
      </c>
      <c r="K854" s="1">
        <f t="shared" si="985"/>
        <v>14.685417315320981</v>
      </c>
      <c r="L854" s="1">
        <f t="shared" ref="L854" si="986">SUM(L855:L856)</f>
        <v>15.16072968140943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2.5400269870279617</v>
      </c>
      <c r="K855" s="1">
        <f>[2]Industry!G$6-K856</f>
        <v>4.1496535742395473</v>
      </c>
      <c r="L855" s="1">
        <f>[2]Industry!H$6-L856</f>
        <v>4.5541772614569105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7.3413235580099512</v>
      </c>
      <c r="K856" s="1">
        <f>[2]Industry!G$70</f>
        <v>10.535763741081434</v>
      </c>
      <c r="L856" s="1">
        <f>[2]Industry!H$70</f>
        <v>10.60655241995252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0.84306236513985355</v>
      </c>
      <c r="H858" s="4">
        <f t="shared" si="987"/>
        <v>0.84373276872970759</v>
      </c>
      <c r="I858" s="4">
        <f t="shared" si="987"/>
        <v>0.84485010804612981</v>
      </c>
      <c r="J858" s="4">
        <f t="shared" si="987"/>
        <v>0.84596744736255358</v>
      </c>
      <c r="K858" s="4">
        <f t="shared" si="987"/>
        <v>0.84708478667897813</v>
      </c>
      <c r="L858" s="4">
        <f t="shared" ref="L858" si="988">IFERROR(L820/L765,"-")</f>
        <v>0.84931946531182367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3.0809801822513294</v>
      </c>
      <c r="G859" s="4">
        <f t="shared" si="991"/>
        <v>3.1055374774069109</v>
      </c>
      <c r="H859" s="4">
        <f t="shared" si="991"/>
        <v>3.1423734201402951</v>
      </c>
      <c r="I859" s="4">
        <f t="shared" si="991"/>
        <v>3.2037666580292479</v>
      </c>
      <c r="J859" s="4">
        <f t="shared" si="991"/>
        <v>3.2651598959182122</v>
      </c>
      <c r="K859" s="4">
        <f t="shared" si="991"/>
        <v>3.3265531338071681</v>
      </c>
      <c r="L859" s="4">
        <f t="shared" ref="L859" si="992">IFERROR(L821/L766,"-")</f>
        <v>3.4493396095850937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0.99999999999999989</v>
      </c>
      <c r="G860" s="4">
        <f t="shared" si="993"/>
        <v>0.999999977520862</v>
      </c>
      <c r="H860" s="4">
        <f t="shared" si="993"/>
        <v>0.99999997826331477</v>
      </c>
      <c r="I860" s="4">
        <f t="shared" si="993"/>
        <v>1.0000004274276719</v>
      </c>
      <c r="J860" s="4">
        <f t="shared" si="993"/>
        <v>1.0000000912258988</v>
      </c>
      <c r="K860" s="4">
        <f t="shared" si="993"/>
        <v>0.99999975805961405</v>
      </c>
      <c r="L860" s="4">
        <f t="shared" ref="L860" si="994">IFERROR(L822/L767,"-")</f>
        <v>0.96002968137233369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95">IFERROR(G824/G769,"-")</f>
        <v>0.77871988564932249</v>
      </c>
      <c r="H861" s="4">
        <f t="shared" si="995"/>
        <v>0.780606515757856</v>
      </c>
      <c r="I861" s="4">
        <f t="shared" si="995"/>
        <v>0.78375089927207797</v>
      </c>
      <c r="J861" s="4">
        <f t="shared" si="995"/>
        <v>0.78689528278629783</v>
      </c>
      <c r="K861" s="4">
        <f t="shared" si="995"/>
        <v>0.79003966630051881</v>
      </c>
      <c r="L861" s="4">
        <f t="shared" ref="L861" si="996">IFERROR(L824/L769,"-")</f>
        <v>0.79632843332896119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95"/>
        <v>0.67905000000000015</v>
      </c>
      <c r="H862" s="4">
        <f t="shared" si="995"/>
        <v>0.68343750000000025</v>
      </c>
      <c r="I862" s="4">
        <f t="shared" si="995"/>
        <v>0.69075000000000075</v>
      </c>
      <c r="J862" s="4">
        <f t="shared" si="995"/>
        <v>0.69806249999999992</v>
      </c>
      <c r="K862" s="4">
        <f t="shared" si="995"/>
        <v>0.70537499999999909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98">IFERROR(G827/G779,"-")</f>
        <v>0.80573074557690094</v>
      </c>
      <c r="H863" s="4">
        <f t="shared" si="998"/>
        <v>0.80660170650634533</v>
      </c>
      <c r="I863" s="4">
        <f t="shared" si="998"/>
        <v>0.81126664439551566</v>
      </c>
      <c r="J863" s="4">
        <f t="shared" si="998"/>
        <v>0.82833702126702846</v>
      </c>
      <c r="K863" s="4">
        <f t="shared" si="998"/>
        <v>0.82732846267397575</v>
      </c>
      <c r="L863" s="4">
        <f t="shared" ref="L863" si="999">IFERROR(L827/L779,"-")</f>
        <v>0.84067993725137968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11.28790453363715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98"/>
        <v>0.70982856881407141</v>
      </c>
      <c r="H865" s="4">
        <f t="shared" si="998"/>
        <v>0.71075704672712847</v>
      </c>
      <c r="I865" s="4">
        <f t="shared" si="998"/>
        <v>0.71099999999999919</v>
      </c>
      <c r="J865" s="4">
        <f t="shared" si="998"/>
        <v>0.71100000000000008</v>
      </c>
      <c r="K865" s="4">
        <f t="shared" si="998"/>
        <v>0.71099999999999974</v>
      </c>
      <c r="L865" s="4">
        <f t="shared" ref="L865" si="1001">IFERROR(L829/L781,"-")</f>
        <v>0.72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1002">IFERROR(G831/G790,"-")</f>
        <v>0.66600000000000004</v>
      </c>
      <c r="H866" s="4">
        <f t="shared" si="1002"/>
        <v>0.66749999999999998</v>
      </c>
      <c r="I866" s="4">
        <f t="shared" si="1002"/>
        <v>0.6699999999999996</v>
      </c>
      <c r="J866" s="4">
        <f t="shared" si="1002"/>
        <v>0.67249999999999943</v>
      </c>
      <c r="K866" s="4">
        <f t="shared" si="1002"/>
        <v>0.67499999999999993</v>
      </c>
      <c r="L866" s="4">
        <f t="shared" ref="L866" si="1003">IFERROR(L831/L790,"-")</f>
        <v>0.68000000000000027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1004">IFERROR(G834/G793,"-")</f>
        <v>0.95203262851139381</v>
      </c>
      <c r="H867" s="4">
        <f t="shared" si="1004"/>
        <v>1.0659893120291761</v>
      </c>
      <c r="I867" s="4">
        <f t="shared" si="1004"/>
        <v>1.0433352443434076</v>
      </c>
      <c r="J867" s="4">
        <f t="shared" si="1004"/>
        <v>0.93688772929272257</v>
      </c>
      <c r="K867" s="4" t="str">
        <f t="shared" si="1004"/>
        <v>-</v>
      </c>
      <c r="L867" s="4" t="str">
        <f t="shared" ref="L867" si="1005">IFERROR(L834/L793,"-")</f>
        <v>-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1.2065317343179824</v>
      </c>
      <c r="G868" s="4">
        <f t="shared" si="1006"/>
        <v>0.95203262851139392</v>
      </c>
      <c r="H868" s="4">
        <f t="shared" si="1006"/>
        <v>1.0659893120291761</v>
      </c>
      <c r="I868" s="4">
        <f t="shared" si="1006"/>
        <v>1.0433352443434076</v>
      </c>
      <c r="J868" s="4">
        <f t="shared" si="1006"/>
        <v>0.93688772929272246</v>
      </c>
      <c r="K868" s="4">
        <f t="shared" si="1006"/>
        <v>0.94113748677528053</v>
      </c>
      <c r="L868" s="4">
        <f t="shared" ref="L868" si="1007">IFERROR(L835/L794,"-")</f>
        <v>0.94761775352204936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>
        <f t="shared" si="1006"/>
        <v>0.94113748677528053</v>
      </c>
      <c r="L869" s="4">
        <f t="shared" ref="L869" si="1008">IFERROR(L836/L795,"-")</f>
        <v>0.94761775352204936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>
        <f t="shared" si="1006"/>
        <v>1.0433352443434079</v>
      </c>
      <c r="J870" s="4">
        <f t="shared" si="1006"/>
        <v>0.93688772929272246</v>
      </c>
      <c r="K870" s="4">
        <f t="shared" si="1006"/>
        <v>0.94113748677528053</v>
      </c>
      <c r="L870" s="4">
        <f t="shared" ref="L870" si="1009">IFERROR(L837/L796,"-")</f>
        <v>0.94761775352204947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1.2065317343179824</v>
      </c>
      <c r="G871" s="4">
        <f t="shared" si="1006"/>
        <v>0.95203262851139381</v>
      </c>
      <c r="H871" s="4">
        <f t="shared" si="1006"/>
        <v>1.0659893120291759</v>
      </c>
      <c r="I871" s="4">
        <f t="shared" si="1006"/>
        <v>1.0433352443434076</v>
      </c>
      <c r="J871" s="4">
        <f t="shared" si="1006"/>
        <v>0.93688772929272246</v>
      </c>
      <c r="K871" s="4">
        <f t="shared" si="1006"/>
        <v>0.94113748677528053</v>
      </c>
      <c r="L871" s="4">
        <f t="shared" ref="L871" si="1010">IFERROR(L838/L797,"-")</f>
        <v>0.94761775352204947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>
        <f t="shared" si="1006"/>
        <v>0.94113748677528053</v>
      </c>
      <c r="L872" s="4">
        <f t="shared" ref="L872" si="1011">IFERROR(L839/L798,"-")</f>
        <v>0.94761775352204936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1.2065317343179822</v>
      </c>
      <c r="G873" s="4">
        <f t="shared" si="1006"/>
        <v>0.95203262851139392</v>
      </c>
      <c r="H873" s="4">
        <f t="shared" si="1006"/>
        <v>1.0659893120291761</v>
      </c>
      <c r="I873" s="4">
        <f t="shared" si="1006"/>
        <v>1.0433352443434076</v>
      </c>
      <c r="J873" s="4">
        <f t="shared" si="1006"/>
        <v>0.93688772929272246</v>
      </c>
      <c r="K873" s="4">
        <f t="shared" si="1006"/>
        <v>0.94113748677528053</v>
      </c>
      <c r="L873" s="4">
        <f t="shared" ref="L873" si="1012">IFERROR(L840/L799,"-")</f>
        <v>0.94761775352204936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>
        <f t="shared" si="1006"/>
        <v>0.94113748677528053</v>
      </c>
      <c r="L874" s="4">
        <f t="shared" ref="L874" si="1013">IFERROR(L841/L800,"-")</f>
        <v>0.94761775352204947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>
        <f t="shared" si="1006"/>
        <v>1.0433352443434076</v>
      </c>
      <c r="J875" s="4">
        <f t="shared" si="1006"/>
        <v>0.93688772929272246</v>
      </c>
      <c r="K875" s="4">
        <f t="shared" si="1006"/>
        <v>0.94113748677528042</v>
      </c>
      <c r="L875" s="4">
        <f t="shared" ref="L875" si="1014">IFERROR(L842/L801,"-")</f>
        <v>0.94761775352204936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0.92447626236575142</v>
      </c>
      <c r="G876" s="4">
        <f t="shared" si="1006"/>
        <v>0.9264563641282727</v>
      </c>
      <c r="H876" s="4">
        <f t="shared" si="1006"/>
        <v>0.92942651677205523</v>
      </c>
      <c r="I876" s="4">
        <f t="shared" si="1006"/>
        <v>0.93437677117835805</v>
      </c>
      <c r="J876" s="4">
        <f t="shared" si="1006"/>
        <v>0.93932702558466152</v>
      </c>
      <c r="K876" s="4">
        <f>IFERROR(K843/K802,"-")</f>
        <v>0.944277279990966</v>
      </c>
      <c r="L876" s="4">
        <f>IFERROR(L843/L802,"-")</f>
        <v>0.95000000000000007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15">IFERROR(G845/G804,"-")</f>
        <v>0.59066666666666579</v>
      </c>
      <c r="H877" s="4">
        <f t="shared" si="1015"/>
        <v>0.5916666666666669</v>
      </c>
      <c r="I877" s="4">
        <f t="shared" si="1015"/>
        <v>0.59333333333333327</v>
      </c>
      <c r="J877" s="4">
        <f t="shared" si="1015"/>
        <v>0.59500000000000031</v>
      </c>
      <c r="K877" s="4">
        <f t="shared" si="1015"/>
        <v>0.5966666666666669</v>
      </c>
      <c r="L877" s="4">
        <f t="shared" ref="L877" si="1016">IFERROR(L845/L804,"-")</f>
        <v>0.59999999999999987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17">IFERROR(G847/G806,"-")</f>
        <v>0.73833333333333329</v>
      </c>
      <c r="H878" s="4">
        <f t="shared" si="1017"/>
        <v>0.73958333333333315</v>
      </c>
      <c r="I878" s="4">
        <f t="shared" si="1017"/>
        <v>0.74166666666666692</v>
      </c>
      <c r="J878" s="4">
        <f t="shared" si="1017"/>
        <v>0.74375000000000002</v>
      </c>
      <c r="K878" s="4">
        <f t="shared" si="1017"/>
        <v>0.7458333333333329</v>
      </c>
      <c r="L878" s="4">
        <f t="shared" ref="L878" si="1018">IFERROR(L847/L806,"-")</f>
        <v>0.75000000000000022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19">IFERROR(G849/G808,"-")</f>
        <v>0.52799999999999991</v>
      </c>
      <c r="H879" s="4">
        <f t="shared" si="1019"/>
        <v>0.52800000000000025</v>
      </c>
      <c r="I879" s="4">
        <f t="shared" si="1019"/>
        <v>0.52800000000000025</v>
      </c>
      <c r="J879" s="4">
        <f t="shared" si="1019"/>
        <v>0.52800000000000014</v>
      </c>
      <c r="K879" s="4">
        <f t="shared" si="1019"/>
        <v>0.5280000000000008</v>
      </c>
      <c r="L879" s="4">
        <f t="shared" ref="L879" si="1020">IFERROR(L849/L808,"-")</f>
        <v>0.54399999999999948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>
        <f t="shared" si="1023"/>
        <v>0.17621475589685803</v>
      </c>
      <c r="J881" s="4">
        <f t="shared" si="1023"/>
        <v>0.78285393316206864</v>
      </c>
      <c r="K881" s="4">
        <f t="shared" si="1023"/>
        <v>0.79679517211404138</v>
      </c>
      <c r="L881" s="4">
        <f t="shared" ref="L881" si="1024">IFERROR(L853/L814,"-")</f>
        <v>0.80799608487894292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140.1011161858485</v>
      </c>
      <c r="G882" s="17">
        <f t="shared" si="1025"/>
        <v>139.62165103524626</v>
      </c>
      <c r="H882" s="17">
        <f t="shared" si="1025"/>
        <v>132.90645307515027</v>
      </c>
      <c r="I882" s="17">
        <f t="shared" si="1025"/>
        <v>121.43806258000376</v>
      </c>
      <c r="J882" s="17">
        <f t="shared" si="1025"/>
        <v>117.21110270257081</v>
      </c>
      <c r="K882" s="17">
        <f t="shared" si="1025"/>
        <v>114.7257976870704</v>
      </c>
      <c r="L882" s="17">
        <f t="shared" ref="L882" si="1026">L883+L887+L894+L905+L913+L915+L917+L919+L923</f>
        <v>107.12227405945947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61.153940028579555</v>
      </c>
      <c r="K883" s="1">
        <f>[2]Services!G$11</f>
        <v>61.661445431799145</v>
      </c>
      <c r="L883" s="1">
        <f>[2]Services!H$11</f>
        <v>59.300104409695095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0.47631170172590664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0.39591742621900367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0.27933063172858741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5.2795253854091211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6.5864913481160201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6.7463792049467219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55.398102941444527</v>
      </c>
      <c r="K886" s="1">
        <f>[2]Services!G$11-[2]Services!G$28</f>
        <v>54.679036657464124</v>
      </c>
      <c r="L886" s="1">
        <f>[2]Services!H$11-[2]Services!H$28</f>
        <v>52.274394573019784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29">G888</f>
        <v>26.711962241580274</v>
      </c>
      <c r="H887" s="1">
        <f t="shared" si="1029"/>
        <v>25.03492476187715</v>
      </c>
      <c r="I887" s="1">
        <f t="shared" si="1029"/>
        <v>13.166761500761949</v>
      </c>
      <c r="J887" s="1">
        <f t="shared" si="1029"/>
        <v>8.539362390327554</v>
      </c>
      <c r="K887" s="1">
        <f t="shared" si="1029"/>
        <v>3.5359734378611312</v>
      </c>
      <c r="L887" s="1">
        <f t="shared" si="1029"/>
        <v>0.2451233668047757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30">SUM(G891,G893)</f>
        <v>26.711962241580274</v>
      </c>
      <c r="H888" s="1">
        <f t="shared" si="1030"/>
        <v>25.03492476187715</v>
      </c>
      <c r="I888" s="1">
        <f t="shared" si="1030"/>
        <v>13.166761500761949</v>
      </c>
      <c r="J888" s="1">
        <f t="shared" si="1030"/>
        <v>8.539362390327554</v>
      </c>
      <c r="K888" s="1">
        <f t="shared" si="1030"/>
        <v>3.5359734378611312</v>
      </c>
      <c r="L888" s="1">
        <f t="shared" ref="L888" si="1031">SUM(L891,L893)</f>
        <v>0.2451233668047757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32">G890</f>
        <v>26.711962241580274</v>
      </c>
      <c r="H889" s="1">
        <f t="shared" si="1032"/>
        <v>25.034871718255914</v>
      </c>
      <c r="I889" s="1">
        <f t="shared" si="1032"/>
        <v>13.166490615124539</v>
      </c>
      <c r="J889" s="1">
        <f t="shared" si="1032"/>
        <v>8.5392643734822311</v>
      </c>
      <c r="K889" s="1">
        <f t="shared" si="1032"/>
        <v>3.5359353364741968</v>
      </c>
      <c r="L889" s="1">
        <f t="shared" si="1032"/>
        <v>0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8.5392643734822311</v>
      </c>
      <c r="K890" s="1">
        <f>[2]Services!G$12</f>
        <v>3.5359353364741968</v>
      </c>
      <c r="L890" s="1">
        <f>[2]Services!H$12</f>
        <v>0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33">G890</f>
        <v>26.711962241580274</v>
      </c>
      <c r="H891" s="1">
        <f t="shared" si="1033"/>
        <v>25.034871718255914</v>
      </c>
      <c r="I891" s="1">
        <f t="shared" si="1033"/>
        <v>13.166490615124539</v>
      </c>
      <c r="J891" s="1">
        <f t="shared" si="1033"/>
        <v>8.5392643734822311</v>
      </c>
      <c r="K891" s="1">
        <f t="shared" si="1033"/>
        <v>3.5359353364741968</v>
      </c>
      <c r="L891" s="1">
        <f t="shared" ref="L891" si="1034">L890</f>
        <v>0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5.3043621234439793E-5</v>
      </c>
      <c r="I892">
        <f t="shared" si="1035"/>
        <v>2.7088563740898546E-4</v>
      </c>
      <c r="J892">
        <f t="shared" si="1035"/>
        <v>9.8016845321985822E-5</v>
      </c>
      <c r="K892">
        <f t="shared" si="1035"/>
        <v>3.8101386934424985E-5</v>
      </c>
      <c r="L892">
        <f t="shared" si="1035"/>
        <v>0.2451233668047757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9.8016845321985822E-5</v>
      </c>
      <c r="K893">
        <f>[2]Services!G$13</f>
        <v>3.8101386934424985E-5</v>
      </c>
      <c r="L893">
        <f>[2]Services!H$13</f>
        <v>0.2451233668047757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36">SUM(G895:G897)</f>
        <v>28.287011570229122</v>
      </c>
      <c r="H894" s="1">
        <f t="shared" si="1036"/>
        <v>24.257364749633251</v>
      </c>
      <c r="I894" s="1">
        <f t="shared" si="1036"/>
        <v>17.828594049905345</v>
      </c>
      <c r="J894" s="1">
        <f t="shared" si="1036"/>
        <v>15.029735091603833</v>
      </c>
      <c r="K894" s="1">
        <f t="shared" si="1036"/>
        <v>13.225931628629565</v>
      </c>
      <c r="L894" s="1">
        <f t="shared" ref="L894" si="1037">SUM(L895:L897)</f>
        <v>12.664139642878666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13.254732129393123</v>
      </c>
      <c r="K895" s="1">
        <f>SUM([2]Services!G$14:G$15)</f>
        <v>11.071078422185465</v>
      </c>
      <c r="L895" s="1">
        <f>SUM([2]Services!H$14:H$15)</f>
        <v>10.713859288328626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1.7750029622107102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2.1548532064441002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1.9502803545500411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13.254692236207545</v>
      </c>
      <c r="K898" s="1">
        <f>[2]Services!G$14</f>
        <v>10.92809929439696</v>
      </c>
      <c r="L898" s="1">
        <f>[2]Services!H$14</f>
        <v>10.713833428471958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11.689320801577082</v>
      </c>
      <c r="K899" s="1">
        <f>[2]Services!G$14*IFERROR(K895/SUM(K895:K896),0)</f>
        <v>9.1476235996718671</v>
      </c>
      <c r="L899" s="1">
        <f>[2]Services!H$14*IFERROR(L895/SUM(L895:L896),0)</f>
        <v>9.0639006697772064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0.8893230453896237</v>
      </c>
      <c r="I900" s="1">
        <f t="shared" si="1041"/>
        <v>1.3476549498228572</v>
      </c>
      <c r="J900" s="1">
        <f t="shared" si="1041"/>
        <v>1.5653714346304621</v>
      </c>
      <c r="K900" s="1">
        <f t="shared" si="1041"/>
        <v>1.7804756947250926</v>
      </c>
      <c r="L900" s="1">
        <f t="shared" ref="L900" si="1042">L898-L899</f>
        <v>1.6499327586947512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3.9893185577389311E-5</v>
      </c>
      <c r="K901" s="1">
        <f>[2]Services!G$15+K904</f>
        <v>0.14297912778850613</v>
      </c>
      <c r="L901" s="1">
        <f>[2]Services!H$15+L904</f>
        <v>2.5859856667690813E-5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3.5181823591279188E-5</v>
      </c>
      <c r="K902" s="1">
        <f>[2]Services!G$15*K895/SUM(K895:K896)</f>
        <v>0.11968405560601311</v>
      </c>
      <c r="L902" s="1">
        <f>[2]Services!H$15*L895/SUM(L895:L896)</f>
        <v>2.1877432922163227E-5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4.7113619861101205E-6</v>
      </c>
      <c r="K903" s="1">
        <f>[2]Services!G$15*K896/SUM(K895:K896)</f>
        <v>2.3295072182493017E-2</v>
      </c>
      <c r="L903" s="1">
        <f>[2]Services!H$15*L896/SUM(L895:L896)</f>
        <v>3.9824237455275891E-6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8.024530503341083</v>
      </c>
      <c r="K905" s="1">
        <f>[2]Services!G$17</f>
        <v>8.5539650419389126</v>
      </c>
      <c r="L905" s="1">
        <f>[2]Services!H$17</f>
        <v>7.9424423166963543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44">IF(G906-SUM(G908:G911)&lt;0,0,G906-SUM(G908:G911))</f>
        <v>1.5542237404967851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0.69258184803686851</v>
      </c>
      <c r="G908" s="1">
        <f t="shared" si="1045"/>
        <v>0.73876864888923344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0</v>
      </c>
      <c r="J911" s="1">
        <f t="shared" si="1050"/>
        <v>3.2999460633067123E-4</v>
      </c>
      <c r="K911" s="1">
        <f t="shared" si="1050"/>
        <v>1.221066065412489E-2</v>
      </c>
      <c r="L911" s="1">
        <f t="shared" ref="L911" si="1051">L290</f>
        <v>1.6135266888617952E-2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52">G905-G906</f>
        <v>6.076703590480701</v>
      </c>
      <c r="H912" s="1">
        <f t="shared" si="1052"/>
        <v>6.002955333082598</v>
      </c>
      <c r="I912" s="1">
        <f t="shared" si="1052"/>
        <v>7.5711791153067747</v>
      </c>
      <c r="J912" s="1">
        <f t="shared" si="1052"/>
        <v>8.024530503341083</v>
      </c>
      <c r="K912" s="1">
        <f t="shared" si="1052"/>
        <v>8.5539650419389126</v>
      </c>
      <c r="L912" s="1">
        <f t="shared" ref="L912" si="1053">L905-L906</f>
        <v>7.9424423166963543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54">G914</f>
        <v>9.2007421364112503</v>
      </c>
      <c r="H913" s="1">
        <f t="shared" si="1054"/>
        <v>11.047769280368991</v>
      </c>
      <c r="I913" s="1">
        <f t="shared" si="1054"/>
        <v>10.73008936713881</v>
      </c>
      <c r="J913" s="1">
        <f t="shared" si="1054"/>
        <v>9.0938391392885691</v>
      </c>
      <c r="K913" s="1">
        <f t="shared" si="1054"/>
        <v>7.6558423813419312</v>
      </c>
      <c r="L913" s="1">
        <f t="shared" si="1054"/>
        <v>4.9125864505189876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9.0938391392885691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7.6558423813419312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4.9125864505189876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55">G916</f>
        <v>2.4000932528858097</v>
      </c>
      <c r="H915" s="1">
        <f t="shared" si="1055"/>
        <v>1.0004291084944199</v>
      </c>
      <c r="I915" s="1">
        <f t="shared" si="1055"/>
        <v>1.2392968316166877</v>
      </c>
      <c r="J915" s="1">
        <f t="shared" si="1055"/>
        <v>1.3074298881582929</v>
      </c>
      <c r="K915" s="1">
        <f t="shared" si="1055"/>
        <v>1.4166787045834823</v>
      </c>
      <c r="L915" s="1">
        <f t="shared" si="1055"/>
        <v>1.1873863038217309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1.3074298881582929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1.4166787045834823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1.1873863038217309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56">G918</f>
        <v>0.68733971801391502</v>
      </c>
      <c r="H917" s="1">
        <f t="shared" si="1056"/>
        <v>0.56365441229425606</v>
      </c>
      <c r="I917" s="1">
        <f t="shared" si="1056"/>
        <v>0.76022353282875832</v>
      </c>
      <c r="J917" s="1">
        <f t="shared" si="1056"/>
        <v>0.87146853361289423</v>
      </c>
      <c r="K917" s="1">
        <f t="shared" si="1056"/>
        <v>1.0806218982251417</v>
      </c>
      <c r="L917" s="1">
        <f t="shared" si="1056"/>
        <v>1.3122302711431812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0.87146853361289423</v>
      </c>
      <c r="K918" s="1">
        <f>[2]Services!G$19</f>
        <v>1.0806218982251417</v>
      </c>
      <c r="L918" s="1">
        <f>[2]Services!H$19</f>
        <v>1.3122302711431812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3.4916546164708408E-4</v>
      </c>
      <c r="K919" s="1">
        <f>[2]Services!G$20</f>
        <v>1.1610698268703219E-2</v>
      </c>
      <c r="L919" s="1">
        <f>[2]Services!H$20</f>
        <v>2.6438883348763226E-2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0</v>
      </c>
      <c r="J921" s="1">
        <f t="shared" si="1059"/>
        <v>3.4916546164708408E-4</v>
      </c>
      <c r="K921" s="1">
        <f t="shared" si="1059"/>
        <v>1.1610698268703219E-2</v>
      </c>
      <c r="L921" s="1">
        <f t="shared" si="1059"/>
        <v>2.6438883348763226E-2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3.4916546164708408E-4</v>
      </c>
      <c r="K922" s="1">
        <f>[2]Services!G$20</f>
        <v>1.1610698268703219E-2</v>
      </c>
      <c r="L922" s="1">
        <f>[2]Services!H$20</f>
        <v>2.6438883348763226E-2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60">G924</f>
        <v>3.1924517334416622</v>
      </c>
      <c r="H923" s="1">
        <f t="shared" si="1060"/>
        <v>3.5045224694507011</v>
      </c>
      <c r="I923" s="1">
        <f t="shared" si="1060"/>
        <v>9.9441658766751715</v>
      </c>
      <c r="J923" s="1">
        <f t="shared" si="1060"/>
        <v>13.190447962197364</v>
      </c>
      <c r="K923" s="1">
        <f t="shared" si="1060"/>
        <v>17.583728464422396</v>
      </c>
      <c r="L923" s="1">
        <f t="shared" si="1060"/>
        <v>19.531822414551918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13.190447962197364</v>
      </c>
      <c r="K924" s="1">
        <f>[2]Services!G$21-K925</f>
        <v>17.583728464422396</v>
      </c>
      <c r="L924" s="1">
        <f>[2]Services!H$21-L925</f>
        <v>19.531822414551918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1.986858807098735</v>
      </c>
      <c r="K925" s="1">
        <f>[2]Services!G$50-K896</f>
        <v>2.5790408645256475</v>
      </c>
      <c r="L925" s="1">
        <f>[2]Services!H$50-L896</f>
        <v>2.7176574488570999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60.695467745618203</v>
      </c>
      <c r="K926" s="17">
        <f>[2]Services!G$59</f>
        <v>60.941390899556879</v>
      </c>
      <c r="L926" s="17">
        <f>[2]Services!H$59</f>
        <v>59.422916775181527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63">SUM(G928:G930)</f>
        <v>63.909959227986135</v>
      </c>
      <c r="H927" s="1">
        <f t="shared" si="1063"/>
        <v>64.428507400046158</v>
      </c>
      <c r="I927" s="1">
        <f t="shared" si="1063"/>
        <v>69.84327497966791</v>
      </c>
      <c r="J927" s="1">
        <f t="shared" si="1063"/>
        <v>74.106693613900148</v>
      </c>
      <c r="K927" s="1">
        <f t="shared" si="1063"/>
        <v>79.052419851680796</v>
      </c>
      <c r="L927" s="1">
        <f t="shared" ref="L927" si="1064">SUM(L928:L930)</f>
        <v>78.702561605391168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0.23861732484913808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0.20316338167825515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0.1499654128727328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18.469973347606487</v>
      </c>
      <c r="K929" s="1">
        <f>[2]Services!G$47</f>
        <v>24.170219812538416</v>
      </c>
      <c r="L929" s="1">
        <f>[2]Services!H$47</f>
        <v>26.278201619498642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55.398102941444527</v>
      </c>
      <c r="K930" s="1">
        <f>[2]Services!G$3-([2]Services!G$6-[2]Services!G$58)</f>
        <v>54.679036657464124</v>
      </c>
      <c r="L930" s="1">
        <f>[2]Services!H$3-([2]Services!H$6-[2]Services!H$58)</f>
        <v>52.274394573019791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67">G932</f>
        <v>21.976046979083062</v>
      </c>
      <c r="H931" s="1">
        <f t="shared" si="1067"/>
        <v>19.733985705602667</v>
      </c>
      <c r="I931" s="1">
        <f t="shared" si="1067"/>
        <v>10.756635263478749</v>
      </c>
      <c r="J931" s="1">
        <f t="shared" si="1067"/>
        <v>6.9762641793204727</v>
      </c>
      <c r="K931" s="1">
        <f t="shared" si="1067"/>
        <v>2.8887267814655977</v>
      </c>
      <c r="L931" s="1">
        <f t="shared" si="1067"/>
        <v>0.20206257680714065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6.9762641793204727</v>
      </c>
      <c r="K932" s="1">
        <f>[2]Services!G$48</f>
        <v>2.8887267814655977</v>
      </c>
      <c r="L932" s="1">
        <f>[2]Services!H$48</f>
        <v>0.20206257680714065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68">SUM(G934:G936)</f>
        <v>26.667693030851453</v>
      </c>
      <c r="H933" s="1">
        <f t="shared" si="1068"/>
        <v>20.861616713472117</v>
      </c>
      <c r="I933" s="1">
        <f t="shared" si="1068"/>
        <v>15.831932945454708</v>
      </c>
      <c r="J933" s="1">
        <f t="shared" si="1068"/>
        <v>13.667419596652707</v>
      </c>
      <c r="K933" s="1">
        <f t="shared" si="1068"/>
        <v>12.437255699416987</v>
      </c>
      <c r="L933" s="1">
        <f t="shared" ref="L933" si="1069">SUM(L934:L936)</f>
        <v>12.252383420241081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9.9055578273432623</v>
      </c>
      <c r="K934" s="1">
        <f>[2]Services!G$49</f>
        <v>7.7033616284472402</v>
      </c>
      <c r="L934" s="1">
        <f>[2]Services!H$49</f>
        <v>7.5844456168339409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3.7618617693094452</v>
      </c>
      <c r="K935" s="1">
        <f>[2]Services!G$50</f>
        <v>4.7338940709697477</v>
      </c>
      <c r="L935" s="1">
        <f>[2]Services!H$50</f>
        <v>4.667937803407141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74">G938+G944</f>
        <v>8.2859990200680489</v>
      </c>
      <c r="H937" s="1">
        <f t="shared" si="1074"/>
        <v>4.9230940448618936</v>
      </c>
      <c r="I937" s="1">
        <f t="shared" si="1074"/>
        <v>6.237591749533359</v>
      </c>
      <c r="J937" s="1">
        <f t="shared" si="1074"/>
        <v>6.6110898314800925</v>
      </c>
      <c r="K937" s="1">
        <f t="shared" si="1074"/>
        <v>7.0472697790921197</v>
      </c>
      <c r="L937" s="1">
        <f t="shared" ref="L937" si="1075">L938+L944</f>
        <v>6.5434606566909066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76">IFERROR(G907/G$906,0)*G$938</f>
        <v>1.5386815030918173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78">IFERROR(G908/G$906,0)*G$938</f>
        <v>0.73138096240034112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6.6110898314800925</v>
      </c>
      <c r="K944" s="1">
        <f>[2]Services!G$52</f>
        <v>7.0472697790921197</v>
      </c>
      <c r="L944" s="1">
        <f>[2]Services!H$52</f>
        <v>6.5434606566909066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83">G946</f>
        <v>6.6245343382161019</v>
      </c>
      <c r="H945" s="1">
        <f t="shared" si="1083"/>
        <v>7.4687934732896508</v>
      </c>
      <c r="I945" s="1">
        <f t="shared" si="1083"/>
        <v>7.2566040783520016</v>
      </c>
      <c r="J945" s="1">
        <f t="shared" si="1083"/>
        <v>6.1500317404751321</v>
      </c>
      <c r="K945" s="1">
        <f t="shared" si="1083"/>
        <v>5.201141378998976</v>
      </c>
      <c r="L945" s="1">
        <f t="shared" si="1083"/>
        <v>3.4149080822270239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6.1500317404751321</v>
      </c>
      <c r="K946" s="1">
        <f>[2]Services!G$53</f>
        <v>5.201141378998976</v>
      </c>
      <c r="L946" s="1">
        <f>[2]Services!H$53</f>
        <v>3.4149080822270239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84">G948</f>
        <v>2.1600839275972281</v>
      </c>
      <c r="H947" s="1">
        <f t="shared" si="1084"/>
        <v>0.66642970074782548</v>
      </c>
      <c r="I947" s="1">
        <f t="shared" si="1084"/>
        <v>0.83015832249815691</v>
      </c>
      <c r="J947" s="1">
        <f t="shared" si="1084"/>
        <v>0.87579809376382556</v>
      </c>
      <c r="K947" s="1">
        <f t="shared" si="1084"/>
        <v>0.94920241181848708</v>
      </c>
      <c r="L947" s="1">
        <f t="shared" si="1084"/>
        <v>0.79557202328328691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0.87579809376382556</v>
      </c>
      <c r="K948" s="1">
        <f>[2]Services!G$54</f>
        <v>0.94920241181848708</v>
      </c>
      <c r="L948" s="1">
        <f>[2]Services!H$54</f>
        <v>0.79557202328328691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85">G950</f>
        <v>0.68733971801391502</v>
      </c>
      <c r="H949" s="1">
        <f t="shared" si="1085"/>
        <v>0.56365441229425606</v>
      </c>
      <c r="I949" s="1">
        <f t="shared" si="1085"/>
        <v>0.76022353282875832</v>
      </c>
      <c r="J949" s="1">
        <f t="shared" si="1085"/>
        <v>0.87146853361289423</v>
      </c>
      <c r="K949" s="1">
        <f t="shared" si="1085"/>
        <v>1.0806218982251417</v>
      </c>
      <c r="L949" s="1">
        <f t="shared" si="1085"/>
        <v>1.3122302711431812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0.87146853361289423</v>
      </c>
      <c r="K950" s="1">
        <f>[2]Services!G$55</f>
        <v>1.0806218982251417</v>
      </c>
      <c r="L950" s="1">
        <f>[2]Services!H$55</f>
        <v>1.3122302711431812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6.834805097857453</v>
      </c>
      <c r="K953" s="1">
        <f>[2]Services!G$58</f>
        <v>6.9637897563229041</v>
      </c>
      <c r="L953" s="1">
        <f>[2]Services!H$58</f>
        <v>8.4741327124175445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0.91250000000000042</v>
      </c>
      <c r="G955" s="4">
        <f t="shared" si="1089"/>
        <v>0.91499999999999937</v>
      </c>
      <c r="H955" s="4">
        <f t="shared" si="1089"/>
        <v>0.47452828539769615</v>
      </c>
      <c r="I955" s="4">
        <f t="shared" si="1089"/>
        <v>0.49569431171069239</v>
      </c>
      <c r="J955" s="4">
        <f t="shared" si="1089"/>
        <v>0.5009688487276559</v>
      </c>
      <c r="K955" s="4">
        <f t="shared" si="1089"/>
        <v>0.5131458436130425</v>
      </c>
      <c r="L955" s="4">
        <f t="shared" ref="L955" si="1090">IFERROR(L928/L884,"-")</f>
        <v>0.53687421227202614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3.2000000000000024</v>
      </c>
      <c r="G956" s="4">
        <f t="shared" si="1089"/>
        <v>3.24</v>
      </c>
      <c r="H956" s="4">
        <f t="shared" si="1089"/>
        <v>2.8501536367436628</v>
      </c>
      <c r="I956" s="4">
        <f t="shared" si="1089"/>
        <v>3.323333943767198</v>
      </c>
      <c r="J956" s="4">
        <f t="shared" si="1089"/>
        <v>3.4984154823180589</v>
      </c>
      <c r="K956" s="4">
        <f t="shared" si="1089"/>
        <v>3.6696654614830688</v>
      </c>
      <c r="L956" s="4">
        <f t="shared" ref="L956" si="1091">IFERROR(L929/L885,"-")</f>
        <v>3.8951563232956703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1</v>
      </c>
      <c r="G957" s="4">
        <f t="shared" si="1089"/>
        <v>1</v>
      </c>
      <c r="H957" s="4">
        <f t="shared" si="1089"/>
        <v>0.99999999999999989</v>
      </c>
      <c r="I957" s="4">
        <f t="shared" si="1089"/>
        <v>1</v>
      </c>
      <c r="J957" s="4">
        <f t="shared" si="1089"/>
        <v>1</v>
      </c>
      <c r="K957" s="4">
        <f t="shared" si="1089"/>
        <v>1</v>
      </c>
      <c r="L957" s="4">
        <f t="shared" ref="L957" si="1092">IFERROR(L930/L886,"-")</f>
        <v>1.0000000000000002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0.82107843137254888</v>
      </c>
      <c r="G958" s="4">
        <f t="shared" si="1093"/>
        <v>0.82270432925645542</v>
      </c>
      <c r="H958" s="4">
        <f t="shared" si="1093"/>
        <v>0.78825823897235425</v>
      </c>
      <c r="I958" s="4">
        <f t="shared" si="1093"/>
        <v>0.81695375608165099</v>
      </c>
      <c r="J958" s="4">
        <f t="shared" si="1093"/>
        <v>0.81695375608165011</v>
      </c>
      <c r="K958" s="4">
        <f t="shared" si="1093"/>
        <v>0.81695375608165055</v>
      </c>
      <c r="L958" s="4">
        <f t="shared" ref="L958" si="1094">IFERROR(L932/L888,"-")</f>
        <v>0.82433012993032984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0.94680851063829929</v>
      </c>
      <c r="G959" s="4">
        <f t="shared" si="1095"/>
        <v>0.94680851063829996</v>
      </c>
      <c r="H959" s="4">
        <f t="shared" si="1095"/>
        <v>0.81787220309113451</v>
      </c>
      <c r="I959" s="4">
        <f t="shared" si="1095"/>
        <v>0.78538570950815134</v>
      </c>
      <c r="J959" s="4">
        <f t="shared" si="1095"/>
        <v>0.74732236990117096</v>
      </c>
      <c r="K959" s="4">
        <f t="shared" si="1095"/>
        <v>0.69580950786243034</v>
      </c>
      <c r="L959" s="4">
        <f t="shared" ref="L959" si="1096">IFERROR(L934/L895,"-")</f>
        <v>0.70790976554043605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1.9232701682265005</v>
      </c>
      <c r="I960" s="4">
        <f t="shared" si="1095"/>
        <v>2.0311165949457193</v>
      </c>
      <c r="J960" s="4">
        <f t="shared" si="1095"/>
        <v>2.1193552063846504</v>
      </c>
      <c r="K960" s="4">
        <f t="shared" si="1095"/>
        <v>2.1968522295685906</v>
      </c>
      <c r="L960" s="4">
        <f t="shared" ref="L960" si="1097">IFERROR(L935/L896,"-")</f>
        <v>2.3934701452110478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0.87219999999999998</v>
      </c>
      <c r="G961" s="4">
        <f t="shared" si="1095"/>
        <v>0.87219999999999942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 t="str">
        <f t="shared" si="1099"/>
        <v>-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0.98999999999999955</v>
      </c>
      <c r="G967" s="4">
        <f t="shared" si="1099"/>
        <v>0.98999999999999955</v>
      </c>
      <c r="H967" s="4">
        <f t="shared" si="1099"/>
        <v>0.82011172359228912</v>
      </c>
      <c r="I967" s="4">
        <f t="shared" si="1099"/>
        <v>0.8238600163246329</v>
      </c>
      <c r="J967" s="4">
        <f t="shared" si="1099"/>
        <v>0.82386001632463202</v>
      </c>
      <c r="K967" s="4">
        <f t="shared" si="1099"/>
        <v>0.82386001632463146</v>
      </c>
      <c r="L967" s="4">
        <f t="shared" ref="L967" si="1105">IFERROR(L944/L912,"-")</f>
        <v>0.82386001632463202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0.71999999999999986</v>
      </c>
      <c r="G968" s="4">
        <f t="shared" si="1106"/>
        <v>0.7200000000000002</v>
      </c>
      <c r="H968" s="4">
        <f t="shared" si="1106"/>
        <v>0.67604538832659222</v>
      </c>
      <c r="I968" s="4">
        <f t="shared" si="1106"/>
        <v>0.67628552102981998</v>
      </c>
      <c r="J968" s="4">
        <f t="shared" si="1106"/>
        <v>0.6762855210298192</v>
      </c>
      <c r="K968" s="4">
        <f t="shared" si="1106"/>
        <v>0.67936892113592728</v>
      </c>
      <c r="L968" s="4">
        <f t="shared" ref="L968" si="1107">IFERROR(L946/L913,"-")</f>
        <v>0.69513445038025901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0.8999999999999998</v>
      </c>
      <c r="G969" s="4">
        <f t="shared" si="1108"/>
        <v>0.8999999999999998</v>
      </c>
      <c r="H969" s="4">
        <f t="shared" si="1108"/>
        <v>0.66614385276209964</v>
      </c>
      <c r="I969" s="4">
        <f t="shared" si="1108"/>
        <v>0.66986237785761027</v>
      </c>
      <c r="J969" s="4">
        <f t="shared" si="1108"/>
        <v>0.66986237785761182</v>
      </c>
      <c r="K969" s="4">
        <f t="shared" si="1108"/>
        <v>0.67001953847930684</v>
      </c>
      <c r="L969" s="4">
        <f t="shared" ref="L969" si="1109">IFERROR(L948/L916,"-")</f>
        <v>0.67001953847930751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 t="str">
        <f t="shared" si="1112"/>
        <v>-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198.06366610965352</v>
      </c>
      <c r="K972" s="3">
        <f>[2]Residential!G$26</f>
        <v>191.10526311654786</v>
      </c>
      <c r="L972" s="3">
        <f>[2]Residential!H$26</f>
        <v>176.24524391641629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75.796627394233781</v>
      </c>
      <c r="K973" s="1">
        <f>[2]Residential!G$15</f>
        <v>76.919469649457398</v>
      </c>
      <c r="L973" s="1">
        <f>[2]Residential!H$15</f>
        <v>72.146250475217926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14">SUM(G975:G976)</f>
        <v>15.081928039207174</v>
      </c>
      <c r="H974" s="1">
        <f t="shared" si="1114"/>
        <v>11.944219292051274</v>
      </c>
      <c r="I974" s="1">
        <f t="shared" si="1114"/>
        <v>15.633188726364683</v>
      </c>
      <c r="J974" s="1">
        <f t="shared" si="1114"/>
        <v>17.325610098233515</v>
      </c>
      <c r="K974" s="1">
        <f t="shared" si="1114"/>
        <v>18.95543498522138</v>
      </c>
      <c r="L974" s="1">
        <f t="shared" ref="L974" si="1115">SUM(L975:L976)</f>
        <v>17.552619191192406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3.1113351081149418E-2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1.9752453549603931E-2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1.5099499838570672E-2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17.294496747152365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18.935682531671777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17.537519691353836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19">SUM(G978:G979)</f>
        <v>10.085309402063864</v>
      </c>
      <c r="H977" s="1">
        <f t="shared" si="1119"/>
        <v>8.7279011851594213</v>
      </c>
      <c r="I977" s="1">
        <f t="shared" si="1119"/>
        <v>8.3518148933313121</v>
      </c>
      <c r="J977" s="1">
        <f t="shared" si="1119"/>
        <v>9.4980365894244247</v>
      </c>
      <c r="K977" s="1">
        <f t="shared" si="1119"/>
        <v>10.288643133694192</v>
      </c>
      <c r="L977" s="1">
        <f t="shared" ref="L977" si="1120">SUM(L978:L979)</f>
        <v>10.31537271537189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4.0192069231897669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3.7414033158341629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3.2415397109779143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5.4788296662346578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6.5472398178600288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7.0738330043939763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48.972980706575832</v>
      </c>
      <c r="K980" s="1">
        <f>[2]Residential!G$3-([2]Residential!G$10-[2]Residential!G$244)</f>
        <v>47.67539153054183</v>
      </c>
      <c r="L980" s="1">
        <f>[2]Residential!H$3-([2]Residential!H$10-[2]Residential!H$244)</f>
        <v>44.278258568653634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14.68273851405524</v>
      </c>
      <c r="K981" s="1">
        <f>SUM([2]Residential!G$16:G$17)</f>
        <v>5.4299195933517037</v>
      </c>
      <c r="L981" s="1">
        <f>SUM([2]Residential!H$16:H$17)</f>
        <v>0.53059544113803259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14.68264048058375</v>
      </c>
      <c r="K982" s="1">
        <f>[2]Residential!G$16</f>
        <v>5.4298814368957791</v>
      </c>
      <c r="L982" s="1">
        <f>[2]Residential!H$16</f>
        <v>0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9.8033471489767843E-5</v>
      </c>
      <c r="K983" s="1">
        <f>[2]Residential!G$17</f>
        <v>3.8156455924440507E-5</v>
      </c>
      <c r="L983" s="1">
        <f>[2]Residential!H$17</f>
        <v>0.53059544113803259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23">SUM(G986,G988)</f>
        <v>43.556300630674521</v>
      </c>
      <c r="H984" s="1">
        <f t="shared" si="1123"/>
        <v>40.212993509395503</v>
      </c>
      <c r="I984" s="1">
        <f t="shared" si="1123"/>
        <v>19.498817937171623</v>
      </c>
      <c r="J984" s="1">
        <f t="shared" si="1123"/>
        <v>12.274286871724829</v>
      </c>
      <c r="K984" s="1">
        <f t="shared" si="1123"/>
        <v>4.2958557883538075</v>
      </c>
      <c r="L984" s="1">
        <f t="shared" ref="L984" si="1124">SUM(L986,L988)</f>
        <v>0.4562888730701446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12.274286871724829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4.2958557883538075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0.4562888730701446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25">G987</f>
        <v>43.556300630674521</v>
      </c>
      <c r="H986" s="1">
        <f t="shared" si="1125"/>
        <v>40.212949880617359</v>
      </c>
      <c r="I986" s="1">
        <f t="shared" si="1125"/>
        <v>19.498588121779083</v>
      </c>
      <c r="J986" s="1">
        <f t="shared" si="1125"/>
        <v>12.274204918964385</v>
      </c>
      <c r="K986" s="1">
        <f t="shared" si="1125"/>
        <v>4.2958256010500673</v>
      </c>
      <c r="L986" s="1">
        <f t="shared" si="1125"/>
        <v>0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26">G985*IFERROR(G982/G981,0)</f>
        <v>43.556300630674521</v>
      </c>
      <c r="H987" s="1">
        <f t="shared" si="1126"/>
        <v>40.212949880617359</v>
      </c>
      <c r="I987" s="1">
        <f t="shared" si="1126"/>
        <v>19.498588121779083</v>
      </c>
      <c r="J987" s="1">
        <f t="shared" si="1126"/>
        <v>12.274204918964385</v>
      </c>
      <c r="K987" s="1">
        <f t="shared" si="1126"/>
        <v>4.2958256010500673</v>
      </c>
      <c r="L987" s="1">
        <f t="shared" ref="L987" si="1127">L985*IFERROR(L982/L981,0)</f>
        <v>0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4.3628778144011449E-5</v>
      </c>
      <c r="I988" s="1">
        <f t="shared" si="1128"/>
        <v>2.2981539254018912E-4</v>
      </c>
      <c r="J988" s="1">
        <f t="shared" si="1128"/>
        <v>8.1952760444536921E-5</v>
      </c>
      <c r="K988" s="1">
        <f t="shared" si="1128"/>
        <v>3.0187303740270011E-5</v>
      </c>
      <c r="L988" s="1">
        <f t="shared" si="1128"/>
        <v>0.4562888730701446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4.3628778144011449E-5</v>
      </c>
      <c r="I989" s="1">
        <f t="shared" si="1129"/>
        <v>2.2981539254018912E-4</v>
      </c>
      <c r="J989" s="1">
        <f t="shared" si="1129"/>
        <v>8.1952760444536921E-5</v>
      </c>
      <c r="K989" s="1">
        <f t="shared" si="1129"/>
        <v>3.0187303740270011E-5</v>
      </c>
      <c r="L989" s="1">
        <f t="shared" ref="L989" si="1130">L985-L987</f>
        <v>0.4562888730701446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31">G991</f>
        <v>7.7637224266225653</v>
      </c>
      <c r="H990" s="1">
        <f t="shared" si="1131"/>
        <v>8.8665496084370403</v>
      </c>
      <c r="I990" s="1">
        <f t="shared" si="1131"/>
        <v>3.6790943900626281</v>
      </c>
      <c r="J990" s="1">
        <f t="shared" si="1131"/>
        <v>2.4084516423304101</v>
      </c>
      <c r="K990" s="1">
        <f t="shared" si="1131"/>
        <v>1.1340638049978955</v>
      </c>
      <c r="L990" s="1">
        <f t="shared" si="1131"/>
        <v>7.430656806788799E-2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2.4084516423304101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1.1340638049978955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7.430656806788799E-2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32">IFERROR(G982/G981,0)*G991</f>
        <v>7.7637224266225653</v>
      </c>
      <c r="H992" s="1">
        <f t="shared" si="1132"/>
        <v>8.8665399887422112</v>
      </c>
      <c r="I992" s="1">
        <f t="shared" si="1132"/>
        <v>3.679051027817585</v>
      </c>
      <c r="J992" s="1">
        <f t="shared" si="1132"/>
        <v>2.4084355616193638</v>
      </c>
      <c r="K992" s="1">
        <f t="shared" si="1132"/>
        <v>1.1340558358457105</v>
      </c>
      <c r="L992" s="1">
        <f t="shared" ref="L992" si="1133">IFERROR(L982/L981,0)*L991</f>
        <v>0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9.6196948291549234E-6</v>
      </c>
      <c r="I993" s="1">
        <f t="shared" si="1134"/>
        <v>4.3362245043088166E-5</v>
      </c>
      <c r="J993" s="1">
        <f t="shared" si="1134"/>
        <v>1.6080711046306817E-5</v>
      </c>
      <c r="K993" s="1">
        <f t="shared" si="1134"/>
        <v>7.969152185038908E-6</v>
      </c>
      <c r="L993" s="1">
        <f t="shared" ref="L993" si="1135">L991-L992</f>
        <v>7.430656806788799E-2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36">SUM(G995:G996)</f>
        <v>48.158632406095101</v>
      </c>
      <c r="H994" s="1">
        <f t="shared" si="1136"/>
        <v>46.148310639786885</v>
      </c>
      <c r="I994" s="1">
        <f t="shared" si="1136"/>
        <v>32.928550831834272</v>
      </c>
      <c r="J994" s="1">
        <f t="shared" si="1136"/>
        <v>23.119761489230953</v>
      </c>
      <c r="K994" s="1">
        <f t="shared" si="1136"/>
        <v>13.489241996205296</v>
      </c>
      <c r="L994" s="1">
        <f t="shared" ref="L994" si="1137">SUM(L995:L996)</f>
        <v>7.8664801863207909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23.119721868340541</v>
      </c>
      <c r="K995" s="1">
        <f>[2]Residential!G$18</f>
        <v>13.296958045195526</v>
      </c>
      <c r="L995" s="1">
        <f>[2]Residential!H$18</f>
        <v>7.866454375315624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3.9620890413657028E-5</v>
      </c>
      <c r="K996" s="1">
        <f>[2]Residential!G$19</f>
        <v>0.19228395100976942</v>
      </c>
      <c r="L996" s="1">
        <f>[2]Residential!H$19</f>
        <v>2.5811005167308365E-5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40">SUM(G998:G999)</f>
        <v>40.816253028440869</v>
      </c>
      <c r="H997" s="1">
        <f t="shared" si="1140"/>
        <v>35.897493712381575</v>
      </c>
      <c r="I997" s="1">
        <f t="shared" si="1140"/>
        <v>26.326824573967283</v>
      </c>
      <c r="J997" s="1">
        <f t="shared" si="1140"/>
        <v>18.135932746351852</v>
      </c>
      <c r="K997" s="1">
        <f t="shared" si="1140"/>
        <v>9.9993874570181944</v>
      </c>
      <c r="L997" s="1">
        <f t="shared" ref="L997" si="1141">SUM(L998:L999)</f>
        <v>5.7457256563696308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14.537647650472019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5.8682932134570862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2.0687841267815221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3.5982850958798336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4.1310942435611082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3.6769415295881083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42">SUM(G1001:G1002)</f>
        <v>39.316002736524212</v>
      </c>
      <c r="H1000" s="1">
        <f t="shared" si="1142"/>
        <v>35.894354072031128</v>
      </c>
      <c r="I1000" s="1">
        <f t="shared" si="1142"/>
        <v>26.326238842181034</v>
      </c>
      <c r="J1000" s="1">
        <f t="shared" si="1142"/>
        <v>18.135901666368426</v>
      </c>
      <c r="K1000" s="1">
        <f t="shared" si="1142"/>
        <v>9.856850038796038</v>
      </c>
      <c r="L1000" s="1">
        <f t="shared" ref="L1000" si="1143">SUM(L1001:L1002)</f>
        <v>5.7457068038522277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44">G998-G1004</f>
        <v>39.316002736524212</v>
      </c>
      <c r="H1001" s="1">
        <f t="shared" si="1144"/>
        <v>33.848161383671922</v>
      </c>
      <c r="I1001" s="1">
        <f t="shared" si="1144"/>
        <v>23.409727424544272</v>
      </c>
      <c r="J1001" s="1">
        <f t="shared" si="1144"/>
        <v>14.537622736956164</v>
      </c>
      <c r="K1001" s="1">
        <f t="shared" si="1144"/>
        <v>5.7846429531174186</v>
      </c>
      <c r="L1001" s="1">
        <f t="shared" ref="L1001" si="1145">L998-L1004</f>
        <v>2.0687773388158091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2.0461926883592039</v>
      </c>
      <c r="I1002" s="1">
        <f t="shared" si="1146"/>
        <v>2.916511417636761</v>
      </c>
      <c r="J1002" s="1">
        <f t="shared" si="1146"/>
        <v>3.5982789294122632</v>
      </c>
      <c r="K1002" s="1">
        <f t="shared" si="1146"/>
        <v>4.0722070856786194</v>
      </c>
      <c r="L1002" s="1">
        <f t="shared" ref="L1002" si="1147">L999-L1005</f>
        <v>3.676929465036419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48">SUM(G1004:G1005)</f>
        <v>1.5002502919166538</v>
      </c>
      <c r="H1003" s="1">
        <f t="shared" si="1148"/>
        <v>3.1396403504510098E-3</v>
      </c>
      <c r="I1003" s="1">
        <f t="shared" si="1148"/>
        <v>5.8573178624713568E-4</v>
      </c>
      <c r="J1003" s="1">
        <f t="shared" si="1148"/>
        <v>3.1079983425753007E-5</v>
      </c>
      <c r="K1003" s="1">
        <f t="shared" si="1148"/>
        <v>0.14253741822215632</v>
      </c>
      <c r="L1003" s="1">
        <f t="shared" ref="L1003" si="1149">SUM(L1004:L1005)</f>
        <v>1.8852517402176938E-5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50">G998*IFERROR(G996/G994,0)</f>
        <v>1.5002502919166538</v>
      </c>
      <c r="H1004" s="1">
        <f t="shared" si="1150"/>
        <v>2.9606620878451866E-3</v>
      </c>
      <c r="I1004" s="1">
        <f t="shared" si="1150"/>
        <v>5.2084240145870004E-4</v>
      </c>
      <c r="J1004" s="1">
        <f t="shared" si="1150"/>
        <v>2.4913515855256779E-5</v>
      </c>
      <c r="K1004" s="1">
        <f t="shared" si="1150"/>
        <v>8.3650260339667173E-2</v>
      </c>
      <c r="L1004" s="1">
        <f t="shared" ref="L1004" si="1151">L998*IFERROR(L996/L994,0)</f>
        <v>6.7879657129572889E-6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1.7897826260582317E-4</v>
      </c>
      <c r="I1005" s="1">
        <f t="shared" si="1152"/>
        <v>6.4889384788435661E-5</v>
      </c>
      <c r="J1005" s="1">
        <f t="shared" si="1152"/>
        <v>6.1664675704962284E-6</v>
      </c>
      <c r="K1005" s="1">
        <f t="shared" si="1152"/>
        <v>5.8887157882489161E-2</v>
      </c>
      <c r="L1005" s="1">
        <f t="shared" ref="L1005" si="1153">L999*IFERROR(L$996/L$994,0)</f>
        <v>1.2064551689219648E-5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54">SUM(G1007:G1008)</f>
        <v>7.3423793776542325</v>
      </c>
      <c r="H1006" s="1">
        <f t="shared" si="1154"/>
        <v>10.25081692740531</v>
      </c>
      <c r="I1006" s="1">
        <f t="shared" si="1154"/>
        <v>6.6017262578669902</v>
      </c>
      <c r="J1006" s="1">
        <f t="shared" si="1154"/>
        <v>4.9838287428791004</v>
      </c>
      <c r="K1006" s="1">
        <f t="shared" si="1154"/>
        <v>3.4898545391871014</v>
      </c>
      <c r="L1006" s="1">
        <f t="shared" ref="L1006" si="1155">SUM(L1007:L1008)</f>
        <v>2.1207545299511605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56">G994-G998-G999-G1008</f>
        <v>7.3423793776542325</v>
      </c>
      <c r="H1007" s="1">
        <f t="shared" si="1156"/>
        <v>9.8133313977187964</v>
      </c>
      <c r="I1007" s="1">
        <f t="shared" si="1156"/>
        <v>5.843814790082094</v>
      </c>
      <c r="J1007" s="1">
        <f t="shared" si="1156"/>
        <v>3.8417259552735379</v>
      </c>
      <c r="K1007" s="1">
        <f t="shared" si="1156"/>
        <v>2.0828594873491011</v>
      </c>
      <c r="L1007" s="1">
        <f t="shared" ref="L1007" si="1157">L994-L998-L999-L1008</f>
        <v>0.82156082281953102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1.1421027876055627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1.4069950518380003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1.2991937071316295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58">SUM(G1010:G1011)</f>
        <v>7.0725014249422822</v>
      </c>
      <c r="H1009" s="1">
        <f t="shared" si="1158"/>
        <v>10.249920377949568</v>
      </c>
      <c r="I1009" s="1">
        <f t="shared" si="1158"/>
        <v>6.6015793795033471</v>
      </c>
      <c r="J1009" s="1">
        <f t="shared" si="1158"/>
        <v>4.9838202019721134</v>
      </c>
      <c r="K1009" s="1">
        <f t="shared" si="1158"/>
        <v>3.4401080063994884</v>
      </c>
      <c r="L1009" s="1">
        <f t="shared" ref="L1009" si="1159">SUM(L1010:L1011)</f>
        <v>2.1207475714633954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60">G1007-G1013</f>
        <v>7.0725014249422822</v>
      </c>
      <c r="H1010" s="1">
        <f t="shared" si="1160"/>
        <v>9.8124731113026051</v>
      </c>
      <c r="I1010" s="1">
        <f t="shared" si="1160"/>
        <v>5.8436847740953244</v>
      </c>
      <c r="J1010" s="1">
        <f t="shared" si="1160"/>
        <v>3.8417193716155214</v>
      </c>
      <c r="K1010" s="1">
        <f t="shared" si="1160"/>
        <v>2.0531691273023074</v>
      </c>
      <c r="L1010" s="1">
        <f t="shared" ref="L1010" si="1161">L1007-L1013</f>
        <v>0.82155812716529419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0.43744726664696215</v>
      </c>
      <c r="I1011" s="1">
        <f t="shared" si="1162"/>
        <v>0.75789460540802256</v>
      </c>
      <c r="J1011" s="1">
        <f t="shared" si="1162"/>
        <v>1.1421008303565916</v>
      </c>
      <c r="K1011" s="1">
        <f t="shared" si="1162"/>
        <v>1.3869388790971811</v>
      </c>
      <c r="L1011" s="1">
        <f t="shared" ref="L1011" si="1163">L1008-L1014</f>
        <v>1.2991894442981011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5.5770836079865542E-2</v>
      </c>
      <c r="G1012" s="1">
        <f t="shared" si="1164"/>
        <v>0.26987795271195075</v>
      </c>
      <c r="H1012" s="1">
        <f t="shared" si="1164"/>
        <v>8.9654945574284641E-4</v>
      </c>
      <c r="I1012" s="1">
        <f t="shared" si="1164"/>
        <v>1.4687836364278786E-4</v>
      </c>
      <c r="J1012" s="1">
        <f t="shared" si="1164"/>
        <v>8.5409069879040212E-6</v>
      </c>
      <c r="K1012" s="1">
        <f t="shared" si="1164"/>
        <v>4.9746532787613075E-2</v>
      </c>
      <c r="L1012" s="1">
        <f t="shared" ref="L1012" si="1165">SUM(L1013:L1014)</f>
        <v>6.958487765131429E-6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66">G1007*IFERROR(G$996/G$994,0)</f>
        <v>0.26987795271195075</v>
      </c>
      <c r="H1013" s="1">
        <f t="shared" si="1166"/>
        <v>8.5828641619063229E-4</v>
      </c>
      <c r="I1013" s="1">
        <f t="shared" si="1166"/>
        <v>1.3001598676951282E-4</v>
      </c>
      <c r="J1013" s="1">
        <f t="shared" si="1166"/>
        <v>6.5836580167184867E-6</v>
      </c>
      <c r="K1013" s="1">
        <f t="shared" si="1166"/>
        <v>2.9690360046793891E-2</v>
      </c>
      <c r="L1013" s="1">
        <f t="shared" ref="L1013" si="1167">L1007*IFERROR(L$996/L$994,0)</f>
        <v>2.6956542368119665E-6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3.8263039552214114E-5</v>
      </c>
      <c r="I1014" s="1">
        <f t="shared" si="1168"/>
        <v>1.6862376873275059E-5</v>
      </c>
      <c r="J1014" s="1">
        <f t="shared" si="1168"/>
        <v>1.957248971185534E-6</v>
      </c>
      <c r="K1014" s="1">
        <f t="shared" si="1168"/>
        <v>2.0056172740819184E-2</v>
      </c>
      <c r="L1014" s="1">
        <f t="shared" ref="L1014" si="1169">L1008*IFERROR(L$996/L$994,0)</f>
        <v>4.2628335283194624E-6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70">G1015</f>
        <v>0.10000063566305728</v>
      </c>
      <c r="H1016" s="1">
        <f t="shared" ref="H1016:H1017" si="1171">H1015</f>
        <v>2.5922547568607145E-2</v>
      </c>
      <c r="I1016" s="1">
        <f t="shared" ref="I1016:I1017" si="1172">I1015</f>
        <v>4.6618984546192637E-4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0.1000012480142646</v>
      </c>
      <c r="G1017" s="1">
        <f t="shared" si="1170"/>
        <v>0.10000063566305728</v>
      </c>
      <c r="H1017" s="1">
        <f t="shared" si="1171"/>
        <v>2.5922547568607145E-2</v>
      </c>
      <c r="I1017" s="1">
        <f t="shared" si="1172"/>
        <v>4.6618984546192637E-4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76">G1021+G1023</f>
        <v>14.190862753911489</v>
      </c>
      <c r="H1020" s="1">
        <f t="shared" si="1176"/>
        <v>17.68853190129893</v>
      </c>
      <c r="I1020" s="1">
        <f t="shared" si="1176"/>
        <v>15.81872325984444</v>
      </c>
      <c r="J1020" s="1">
        <f t="shared" si="1176"/>
        <v>13.777094510530347</v>
      </c>
      <c r="K1020" s="1">
        <f t="shared" si="1176"/>
        <v>11.842318660140474</v>
      </c>
      <c r="L1020" s="1">
        <f t="shared" ref="L1020" si="1177">L1021+L1023</f>
        <v>7.3482042876953955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78">G1022</f>
        <v>12.996378241712396</v>
      </c>
      <c r="H1021" s="1">
        <f t="shared" si="1178"/>
        <v>14.794587110685649</v>
      </c>
      <c r="I1021" s="1">
        <f t="shared" si="1178"/>
        <v>13.010088031400539</v>
      </c>
      <c r="J1021" s="1">
        <f t="shared" si="1178"/>
        <v>11.122699423588681</v>
      </c>
      <c r="K1021" s="1">
        <f t="shared" si="1178"/>
        <v>9.3565297485267376</v>
      </c>
      <c r="L1021" s="1">
        <f t="shared" si="1178"/>
        <v>5.5374476121801406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11.122699423588681</v>
      </c>
      <c r="K1022" s="1">
        <f>[2]Residential!G$22-K1024-K1025</f>
        <v>9.3565297485267376</v>
      </c>
      <c r="L1022" s="1">
        <f>[2]Residential!H$22-L1024-L1025</f>
        <v>5.5374476121801406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79">G1024</f>
        <v>1.1944845121990932</v>
      </c>
      <c r="H1023" s="1">
        <f t="shared" ref="H1023" si="1180">H1024</f>
        <v>2.8939447906132791</v>
      </c>
      <c r="I1023" s="1">
        <f t="shared" ref="I1023" si="1181">I1024</f>
        <v>2.8086352284439018</v>
      </c>
      <c r="J1023" s="1">
        <f t="shared" ref="J1023" si="1182">J1024</f>
        <v>2.6543950869416655</v>
      </c>
      <c r="K1023" s="1">
        <f t="shared" ref="K1023:L1023" si="1183">K1024</f>
        <v>2.4857889116137373</v>
      </c>
      <c r="L1023" s="1">
        <f t="shared" si="1183"/>
        <v>1.8107566755152547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2.6543950869416655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2.4857889116137373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1.8107566755152547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84">G1026+G1028</f>
        <v>3.83198908888405</v>
      </c>
      <c r="H1025" s="1">
        <f t="shared" si="1184"/>
        <v>0.8735990044418559</v>
      </c>
      <c r="I1025" s="1">
        <f t="shared" si="1184"/>
        <v>1.1546951853648908</v>
      </c>
      <c r="J1025" s="1">
        <f t="shared" si="1184"/>
        <v>1.28817428633154</v>
      </c>
      <c r="K1025" s="1">
        <f t="shared" si="1184"/>
        <v>1.3884880377333655</v>
      </c>
      <c r="L1025" s="1">
        <f t="shared" ref="L1025" si="1185">L1026+L1028</f>
        <v>1.2217050992493961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86">G1027</f>
        <v>3.5202485034719966</v>
      </c>
      <c r="H1026" s="1">
        <f t="shared" si="1186"/>
        <v>0.63496861333702626</v>
      </c>
      <c r="I1026" s="1">
        <f t="shared" si="1186"/>
        <v>0.81977943083994609</v>
      </c>
      <c r="J1026" s="1">
        <f t="shared" si="1186"/>
        <v>0.88573531553986495</v>
      </c>
      <c r="K1026" s="1">
        <f t="shared" si="1186"/>
        <v>0.93456952134110394</v>
      </c>
      <c r="L1026" s="1">
        <f t="shared" si="1186"/>
        <v>0.7828738179863729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0.88573531553986495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0.93456952134110394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0.7828738179863729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87">G1029</f>
        <v>0.31174058541205352</v>
      </c>
      <c r="H1028" s="1">
        <f t="shared" si="1187"/>
        <v>0.23863039110482964</v>
      </c>
      <c r="I1028" s="1">
        <f t="shared" si="1187"/>
        <v>0.33491575452494471</v>
      </c>
      <c r="J1028" s="1">
        <f t="shared" si="1187"/>
        <v>0.40243897079167507</v>
      </c>
      <c r="K1028" s="1">
        <f t="shared" si="1187"/>
        <v>0.45391851639226155</v>
      </c>
      <c r="L1028" s="1">
        <f t="shared" si="1187"/>
        <v>0.43883128126302323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0.40243897079167507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0.45391851639226155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0.43883128126302323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1.5342109875182839</v>
      </c>
      <c r="K1030" s="1">
        <f>[2]Residential!G$23</f>
        <v>1.8473439727484073</v>
      </c>
      <c r="L1030" s="1">
        <f>[2]Residential!H$23</f>
        <v>2.126427834327747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88">G1032</f>
        <v>0.94130082291135464</v>
      </c>
      <c r="H1031" s="1">
        <f t="shared" si="1188"/>
        <v>3.2915453872830618E-2</v>
      </c>
      <c r="I1031" s="1">
        <f t="shared" si="1188"/>
        <v>3.948389953232255E-2</v>
      </c>
      <c r="J1031" s="1">
        <f t="shared" si="1188"/>
        <v>4.1831893242501125E-2</v>
      </c>
      <c r="K1031" s="1">
        <f t="shared" si="1188"/>
        <v>4.4040438900991172E-2</v>
      </c>
      <c r="L1031" s="1">
        <f t="shared" si="1188"/>
        <v>4.4083834623696569E-2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4.1831893242501125E-2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4.4040438900991172E-2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4.4083834623696569E-2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89">G1030-G1031</f>
        <v>1.9867354090041904</v>
      </c>
      <c r="H1033" s="1">
        <f t="shared" si="1189"/>
        <v>0.95046759302000894</v>
      </c>
      <c r="I1033" s="1">
        <f t="shared" si="1189"/>
        <v>1.2517690139219557</v>
      </c>
      <c r="J1033" s="1">
        <f t="shared" si="1189"/>
        <v>1.4923790942757829</v>
      </c>
      <c r="K1033" s="1">
        <f t="shared" si="1189"/>
        <v>1.8033035338474162</v>
      </c>
      <c r="L1033" s="1">
        <f t="shared" ref="L1033" si="1190">L1030-L1031</f>
        <v>2.0823439997040505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91">G1033</f>
        <v>1.9867354090041904</v>
      </c>
      <c r="H1034" s="1">
        <f t="shared" si="1191"/>
        <v>0.95046759302000894</v>
      </c>
      <c r="I1034" s="1">
        <f t="shared" si="1191"/>
        <v>1.2517690139219557</v>
      </c>
      <c r="J1034" s="1">
        <f t="shared" si="1191"/>
        <v>1.4923790942757829</v>
      </c>
      <c r="K1034" s="1">
        <f t="shared" si="1191"/>
        <v>1.8033035338474162</v>
      </c>
      <c r="L1034" s="1">
        <f t="shared" ref="L1034" si="1192">L1033</f>
        <v>2.0823439997040505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5.0776770181296658E-4</v>
      </c>
      <c r="K1035" s="1">
        <f>[2]Residential!G$24</f>
        <v>2.2544630172007578E-2</v>
      </c>
      <c r="L1035" s="1">
        <f>[2]Residential!H$24</f>
        <v>2.2899860560697025E-2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0</v>
      </c>
      <c r="J1036" s="1">
        <f t="shared" si="1193"/>
        <v>5.0776770181296658E-4</v>
      </c>
      <c r="K1036" s="1">
        <f t="shared" si="1193"/>
        <v>2.2544630172007578E-2</v>
      </c>
      <c r="L1036" s="1">
        <f t="shared" ref="L1036" si="1194">L1035-L1038-L1040</f>
        <v>2.2899860560697025E-2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11.399612326303117</v>
      </c>
      <c r="K1042" s="1">
        <f>[2]Residential!G$21</f>
        <v>12.220007735208998</v>
      </c>
      <c r="L1042" s="1">
        <f>[2]Residential!H$21</f>
        <v>11.861504117148476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99">SUM(G1044:G1046)</f>
        <v>7.772949756550275E-2</v>
      </c>
      <c r="H1043" s="1">
        <f t="shared" si="1199"/>
        <v>0.17796213800436675</v>
      </c>
      <c r="I1043" s="1">
        <f t="shared" si="1199"/>
        <v>0</v>
      </c>
      <c r="J1043" s="1">
        <f t="shared" si="1199"/>
        <v>0.71471225319293663</v>
      </c>
      <c r="K1043" s="1">
        <f t="shared" si="1199"/>
        <v>1.2779715975056301</v>
      </c>
      <c r="L1043" s="1">
        <f t="shared" ref="L1043" si="1200">SUM(L1044:L1046)</f>
        <v>0.69132358061161758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0.10404270996977769</v>
      </c>
      <c r="G1044" s="1">
        <f t="shared" si="1201"/>
        <v>7.772949756550275E-2</v>
      </c>
      <c r="H1044" s="1">
        <f t="shared" si="1201"/>
        <v>0.17796213800436675</v>
      </c>
      <c r="I1044" s="1">
        <f t="shared" si="1201"/>
        <v>0</v>
      </c>
      <c r="J1044" s="1">
        <f t="shared" si="1201"/>
        <v>0.70597789016403811</v>
      </c>
      <c r="K1044" s="1">
        <f t="shared" si="1201"/>
        <v>0.32133421299827764</v>
      </c>
      <c r="L1044" s="1">
        <f t="shared" ref="L1044" si="1202">SUM(L244,L246)</f>
        <v>0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0</v>
      </c>
      <c r="J1046" s="1">
        <f t="shared" si="1204"/>
        <v>8.7343630288984793E-3</v>
      </c>
      <c r="K1046" s="1">
        <f t="shared" si="1204"/>
        <v>0.95663738450735247</v>
      </c>
      <c r="L1046" s="1">
        <f t="shared" ref="L1046" si="1205">SUM(L285,L286)</f>
        <v>0.69132358061161758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206">G1042-G1043</f>
        <v>9.6363178444298043</v>
      </c>
      <c r="H1047" s="1">
        <f t="shared" si="1206"/>
        <v>8.2440085017225382</v>
      </c>
      <c r="I1047" s="1">
        <f t="shared" si="1206"/>
        <v>10.725892380811606</v>
      </c>
      <c r="J1047" s="1">
        <f t="shared" si="1206"/>
        <v>10.68490007311018</v>
      </c>
      <c r="K1047" s="1">
        <f t="shared" si="1206"/>
        <v>10.942036137703369</v>
      </c>
      <c r="L1047" s="1">
        <f t="shared" ref="L1047" si="1207">L1042-L1043</f>
        <v>11.170180536536858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56.464938833748441</v>
      </c>
      <c r="K1048" s="1">
        <f>[2]Residential!G$25</f>
        <v>67.94592884153019</v>
      </c>
      <c r="L1048" s="1">
        <f>[2]Residential!H$25</f>
        <v>73.121176614757829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208">G1048-G1052</f>
        <v>15.286933072838536</v>
      </c>
      <c r="H1049" s="1">
        <f t="shared" si="1208"/>
        <v>23.680465903486148</v>
      </c>
      <c r="I1049" s="1">
        <f t="shared" si="1208"/>
        <v>38.665751475479368</v>
      </c>
      <c r="J1049" s="1">
        <f t="shared" si="1208"/>
        <v>47.441459145011876</v>
      </c>
      <c r="K1049" s="1">
        <f t="shared" si="1208"/>
        <v>55.966706485748148</v>
      </c>
      <c r="L1049" s="1">
        <f t="shared" ref="L1049" si="1209">L1048-L1052</f>
        <v>57.98606263353669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210">G1049-G1051</f>
        <v>15.286933072838536</v>
      </c>
      <c r="H1050" s="1">
        <f t="shared" si="1210"/>
        <v>21.935672872916104</v>
      </c>
      <c r="I1050" s="1">
        <f t="shared" si="1210"/>
        <v>35.955237168657519</v>
      </c>
      <c r="J1050" s="1">
        <f t="shared" si="1210"/>
        <v>43.895420500868248</v>
      </c>
      <c r="K1050" s="1">
        <f t="shared" si="1210"/>
        <v>51.704656769635172</v>
      </c>
      <c r="L1050" s="1">
        <f t="shared" ref="L1050" si="1211">L1049-L1051</f>
        <v>53.85123764320943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3.5460386441436293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4.262049716112978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4.134824990327262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212">SUM(G1053:G1054)</f>
        <v>2.3490278031368144</v>
      </c>
      <c r="H1052" s="1">
        <f t="shared" si="1212"/>
        <v>2.8173638501699392</v>
      </c>
      <c r="I1052" s="1">
        <f t="shared" si="1212"/>
        <v>5.9141599964903158</v>
      </c>
      <c r="J1052" s="1">
        <f t="shared" si="1212"/>
        <v>9.0234796887365665</v>
      </c>
      <c r="K1052" s="1">
        <f t="shared" si="1212"/>
        <v>11.979222355782042</v>
      </c>
      <c r="L1052" s="1">
        <f t="shared" ref="L1052" si="1213">SUM(L1053:L1054)</f>
        <v>15.135113981221142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7.3049431425981854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9.6468841275297663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12.309253553243693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1.7185365461383817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2.3323382282522753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2.8258604279774495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149.77200188710037</v>
      </c>
      <c r="K1055" s="3">
        <f>[2]Residential!G$245</f>
        <v>152.24990041360354</v>
      </c>
      <c r="L1055" s="3">
        <f>[2]Residential!H$245</f>
        <v>153.16897108460435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124.16936362650448</v>
      </c>
      <c r="K1056" s="1">
        <f>[2]Residential!G$116</f>
        <v>123.60498819183404</v>
      </c>
      <c r="L1056" s="1">
        <f>[2]Residential!H$116</f>
        <v>122.2853570360196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16">SUM(G1058:G1059)</f>
        <v>29.95397180489686</v>
      </c>
      <c r="H1057" s="1">
        <f t="shared" si="1216"/>
        <v>33.806029048822339</v>
      </c>
      <c r="I1057" s="1">
        <f t="shared" si="1216"/>
        <v>51.570331464837444</v>
      </c>
      <c r="J1057" s="1">
        <f t="shared" si="1216"/>
        <v>61.219001092237228</v>
      </c>
      <c r="K1057" s="1">
        <f t="shared" si="1216"/>
        <v>70.658983165739812</v>
      </c>
      <c r="L1057" s="1">
        <f t="shared" ref="L1057" si="1217">SUM(L1058:L1059)</f>
        <v>71.403074784877219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2.9083844216625195E-2</v>
      </c>
      <c r="K1058" s="1">
        <f>[2]Residential!G$102</f>
        <v>1.8643864432859571E-2</v>
      </c>
      <c r="L1058" s="1">
        <f>[2]Residential!H$102</f>
        <v>1.4317450313962587E-2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61.189917248020606</v>
      </c>
      <c r="K1059" s="1">
        <f>[2]Residential!G$104</f>
        <v>70.640339301306952</v>
      </c>
      <c r="L1059" s="1">
        <f>[2]Residential!H$104</f>
        <v>71.388757334563252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18">G1061</f>
        <v>39.019185981645933</v>
      </c>
      <c r="H1060" s="1">
        <f t="shared" si="1218"/>
        <v>34.330075344251604</v>
      </c>
      <c r="I1060" s="1">
        <f t="shared" si="1218"/>
        <v>16.92580529665619</v>
      </c>
      <c r="J1060" s="1">
        <f t="shared" si="1218"/>
        <v>10.662141225774533</v>
      </c>
      <c r="K1060" s="1">
        <f t="shared" si="1218"/>
        <v>3.7320633689965077</v>
      </c>
      <c r="L1060" s="1">
        <f t="shared" si="1218"/>
        <v>0.39631558145511681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10.662141225774533</v>
      </c>
      <c r="K1061" s="1">
        <f>[2]Residential!G$105</f>
        <v>3.7320633689965077</v>
      </c>
      <c r="L1061" s="1">
        <f>[2]Residential!H$105</f>
        <v>0.39631558145511681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19">SUM(G1063:G1064)</f>
        <v>38.775440377018825</v>
      </c>
      <c r="H1062" s="1">
        <f t="shared" si="1219"/>
        <v>35.423120804013884</v>
      </c>
      <c r="I1062" s="1">
        <f t="shared" si="1219"/>
        <v>27.506234076777307</v>
      </c>
      <c r="J1062" s="1">
        <f t="shared" si="1219"/>
        <v>20.726916548604578</v>
      </c>
      <c r="K1062" s="1">
        <f t="shared" si="1219"/>
        <v>13.868893565067486</v>
      </c>
      <c r="L1062" s="1">
        <f t="shared" ref="L1062" si="1220">SUM(L1063:L1064)</f>
        <v>9.753667572620671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13.582592808581117</v>
      </c>
      <c r="K1063" s="1">
        <f>[2]Residential!G$106</f>
        <v>5.4757496053933998</v>
      </c>
      <c r="L1063" s="1">
        <f>[2]Residential!H$106</f>
        <v>1.9419010527053007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7.1443237400234629</v>
      </c>
      <c r="K1064" s="1">
        <f>[2]Residential!G$107</f>
        <v>8.3931439596740862</v>
      </c>
      <c r="L1064" s="1">
        <f>[2]Residential!H$107</f>
        <v>7.8117665199153699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21">G1066</f>
        <v>7.2000457677401222E-2</v>
      </c>
      <c r="H1065" s="1">
        <f t="shared" si="1221"/>
        <v>2.0720137398480269E-2</v>
      </c>
      <c r="I1065" s="1">
        <f t="shared" si="1221"/>
        <v>3.729518763695409E-4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7.6716946808482875</v>
      </c>
      <c r="K1067" s="1">
        <f>SUM([2]Residential!G$109:G$110)</f>
        <v>8.0789737483872077</v>
      </c>
      <c r="L1067" s="1">
        <f>SUM([2]Residential!H$109:H$110)</f>
        <v>7.5789774251831892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22">IFERROR(G$1068/G$1043,0)*G1044</f>
        <v>4.7265646915454172E-2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28">G1067-G1068</f>
        <v>7.6930315845295638</v>
      </c>
      <c r="H1072" s="1">
        <f t="shared" si="1228"/>
        <v>5.9328487745519718</v>
      </c>
      <c r="I1072" s="1">
        <f t="shared" si="1228"/>
        <v>7.3708402812154743</v>
      </c>
      <c r="J1072" s="1">
        <f t="shared" si="1228"/>
        <v>7.6716946808482875</v>
      </c>
      <c r="K1072" s="1">
        <f t="shared" si="1228"/>
        <v>8.0789737483872077</v>
      </c>
      <c r="L1072" s="1">
        <f t="shared" ref="L1072" si="1229">L1067-L1068</f>
        <v>7.5789774251831892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30">G1074</f>
        <v>9.357392334032923</v>
      </c>
      <c r="H1073" s="1">
        <f t="shared" si="1230"/>
        <v>10.660376864384705</v>
      </c>
      <c r="I1073" s="1">
        <f t="shared" si="1230"/>
        <v>9.4465683746080398</v>
      </c>
      <c r="J1073" s="1">
        <f t="shared" si="1230"/>
        <v>8.0960427710028444</v>
      </c>
      <c r="K1073" s="1">
        <f t="shared" si="1230"/>
        <v>6.8301698475386807</v>
      </c>
      <c r="L1073" s="1">
        <f t="shared" si="1230"/>
        <v>4.1466086142470395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8.0960427710028444</v>
      </c>
      <c r="K1074" s="1">
        <f>[2]Residential!G$111</f>
        <v>6.8301698475386807</v>
      </c>
      <c r="L1074" s="1">
        <f>[2]Residential!H$111</f>
        <v>4.1466086142470395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31">G1076</f>
        <v>3.1682236531247985</v>
      </c>
      <c r="H1075" s="1">
        <f t="shared" si="1231"/>
        <v>0.46852170553737388</v>
      </c>
      <c r="I1075" s="1">
        <f t="shared" si="1231"/>
        <v>0.60628987568522719</v>
      </c>
      <c r="J1075" s="1">
        <f t="shared" si="1231"/>
        <v>0.65582619602803482</v>
      </c>
      <c r="K1075" s="1">
        <f t="shared" si="1231"/>
        <v>0.69269946691430473</v>
      </c>
      <c r="L1075" s="1">
        <f t="shared" si="1231"/>
        <v>0.58520717901280905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0.65582619602803482</v>
      </c>
      <c r="K1076" s="1">
        <f>[2]Residential!G$112</f>
        <v>0.69269946691430473</v>
      </c>
      <c r="L1076" s="1">
        <f>[2]Residential!H$112</f>
        <v>0.58520717901280905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32">G1078</f>
        <v>0.94130082291135464</v>
      </c>
      <c r="H1077" s="1">
        <f t="shared" si="1232"/>
        <v>3.2915453872830625E-2</v>
      </c>
      <c r="I1077" s="1">
        <f t="shared" si="1232"/>
        <v>3.948389953232255E-2</v>
      </c>
      <c r="J1077" s="1">
        <f t="shared" si="1232"/>
        <v>4.1831893242501125E-2</v>
      </c>
      <c r="K1077" s="1">
        <f t="shared" si="1232"/>
        <v>4.4040438900991172E-2</v>
      </c>
      <c r="L1077" s="1">
        <f t="shared" si="1232"/>
        <v>4.4083834623696569E-2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4.1831893242501125E-2</v>
      </c>
      <c r="K1078" s="1">
        <f>[2]Residential!G$113</f>
        <v>4.4040438900991172E-2</v>
      </c>
      <c r="L1078" s="1">
        <f>[2]Residential!H$113</f>
        <v>4.4083834623696569E-2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15.095909218766463</v>
      </c>
      <c r="K1081" s="1">
        <f>[2]Residential!G$10-[2]Residential!G$223</f>
        <v>19.699164590289026</v>
      </c>
      <c r="L1081" s="1">
        <f>[2]Residential!H$10-[2]Residential!H$223</f>
        <v>28.377422043999879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25.602638260595889</v>
      </c>
      <c r="K1082" s="1">
        <f>[2]Residential!G$224</f>
        <v>28.644912221769516</v>
      </c>
      <c r="L1082" s="1">
        <f>[2]Residential!H$224</f>
        <v>30.883614048584736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34">SUM(G1084:G1085)</f>
        <v>10.604171044014141</v>
      </c>
      <c r="H1083" s="1">
        <f t="shared" si="1234"/>
        <v>7.8769342492453163</v>
      </c>
      <c r="I1083" s="1">
        <f t="shared" si="1234"/>
        <v>11.186094382973815</v>
      </c>
      <c r="J1083" s="1">
        <f t="shared" si="1234"/>
        <v>14.783139554345977</v>
      </c>
      <c r="K1083" s="1">
        <f t="shared" si="1234"/>
        <v>18.084725818629476</v>
      </c>
      <c r="L1083" s="1">
        <f t="shared" ref="L1083" si="1235">SUM(L1084:L1085)</f>
        <v>21.062312219707827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1.9993667455131277</v>
      </c>
      <c r="K1084" s="1">
        <f>[2]Residential!G$231-K1058</f>
        <v>1.890601873239685</v>
      </c>
      <c r="L1084" s="1">
        <f>[2]Residential!H$231-L1058</f>
        <v>1.6792256620701584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12.78377280883285</v>
      </c>
      <c r="K1085" s="1">
        <f>[2]Residential!G$233-K1059</f>
        <v>16.194123945389791</v>
      </c>
      <c r="L1085" s="1">
        <f>[2]Residential!H$233-L1059</f>
        <v>19.383086557637668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36">G1087</f>
        <v>5.5478266506907019</v>
      </c>
      <c r="H1086" s="1">
        <f t="shared" si="1236"/>
        <v>4.4460751673001937</v>
      </c>
      <c r="I1086" s="1">
        <f t="shared" si="1236"/>
        <v>1.9705491751106976</v>
      </c>
      <c r="J1086" s="1">
        <f t="shared" si="1236"/>
        <v>1.3227165549492685</v>
      </c>
      <c r="K1086" s="1">
        <f t="shared" si="1236"/>
        <v>0.63074744856894283</v>
      </c>
      <c r="L1086" s="1">
        <f t="shared" si="1236"/>
        <v>4.3654771269149184E-2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1.3227165549492685</v>
      </c>
      <c r="K1087" s="1">
        <f>[2]Residential!G$234-K1061</f>
        <v>0.63074744856894283</v>
      </c>
      <c r="L1087" s="1">
        <f>[2]Residential!H$234-L1061</f>
        <v>4.3654771269149184E-2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37">SUM(G1089:G1090)</f>
        <v>5.536154050751307</v>
      </c>
      <c r="H1088" s="1">
        <f t="shared" si="1237"/>
        <v>6.0654401071957125</v>
      </c>
      <c r="I1088" s="1">
        <f t="shared" si="1237"/>
        <v>4.9579504380606148</v>
      </c>
      <c r="J1088" s="1">
        <f t="shared" si="1237"/>
        <v>4.9933436519352377</v>
      </c>
      <c r="K1088" s="1">
        <f t="shared" si="1237"/>
        <v>4.9079775575388291</v>
      </c>
      <c r="L1088" s="1">
        <f t="shared" ref="L1088" si="1238">SUM(L1089:L1090)</f>
        <v>4.5937879696018786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2.1327043181912941</v>
      </c>
      <c r="K1089" s="1">
        <f>[2]Residential!G$235-K1063</f>
        <v>1.1686442774485526</v>
      </c>
      <c r="L1089" s="1">
        <f>[2]Residential!H$235-L1063</f>
        <v>0.46873383449280004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2.8606393337439435</v>
      </c>
      <c r="K1090" s="1">
        <f>[2]Residential!G$236-K1064</f>
        <v>3.7393332800902765</v>
      </c>
      <c r="L1090" s="1">
        <f>[2]Residential!H$236-L1064</f>
        <v>4.1250541351090781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39">SUM(G1094,G1098)</f>
        <v>1.4633764039036543</v>
      </c>
      <c r="H1093" s="1">
        <f t="shared" si="1239"/>
        <v>0.96167573491679104</v>
      </c>
      <c r="I1093" s="1">
        <f t="shared" si="1239"/>
        <v>1.3814714158491634</v>
      </c>
      <c r="J1093" s="1">
        <f t="shared" si="1239"/>
        <v>1.5933288107810109</v>
      </c>
      <c r="K1093" s="1">
        <f t="shared" si="1239"/>
        <v>1.8250565932884282</v>
      </c>
      <c r="L1093" s="1">
        <f t="shared" ref="L1093" si="1240">SUM(L1094,L1098)</f>
        <v>1.9855679357886418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41">IFERROR(G$1094/G$1043,0)*G1044</f>
        <v>8.9360176157478738E-3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1.5933288107810109</v>
      </c>
      <c r="K1098" s="1">
        <f>[2]Residential!G$239-K1072</f>
        <v>1.8250565932884282</v>
      </c>
      <c r="L1098" s="1">
        <f>[2]Residential!H$239-L1072</f>
        <v>1.9855679357886418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45">G1100</f>
        <v>0.59724225609954651</v>
      </c>
      <c r="H1099" s="1">
        <f t="shared" si="1245"/>
        <v>1.2707759097219835</v>
      </c>
      <c r="I1099" s="1">
        <f t="shared" si="1245"/>
        <v>1.2703713443215268</v>
      </c>
      <c r="J1099" s="1">
        <f t="shared" si="1245"/>
        <v>1.2270650910106831</v>
      </c>
      <c r="K1099" s="1">
        <f t="shared" si="1245"/>
        <v>1.1745052637744529</v>
      </c>
      <c r="L1099" s="1">
        <f t="shared" si="1245"/>
        <v>0.89819961126898562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1.2270650910106831</v>
      </c>
      <c r="K1100" s="1">
        <f>[2]Residential!G$240-K1074</f>
        <v>1.1745052637744529</v>
      </c>
      <c r="L1100" s="1">
        <f>[2]Residential!H$240-L1074</f>
        <v>0.89819961126898562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46">G1102</f>
        <v>0.19483786588253338</v>
      </c>
      <c r="H1101" s="1">
        <f t="shared" ref="H1101" si="1247">H1102</f>
        <v>0.10886455610227203</v>
      </c>
      <c r="I1101" s="1">
        <f t="shared" ref="I1101" si="1248">I1102</f>
        <v>0.15609747797389628</v>
      </c>
      <c r="J1101" s="1">
        <f t="shared" ref="J1101" si="1249">J1102</f>
        <v>0.19066550329793641</v>
      </c>
      <c r="K1101" s="1">
        <f t="shared" ref="K1101:L1101" si="1250">K1102</f>
        <v>0.21859600612196828</v>
      </c>
      <c r="L1101" s="1">
        <f t="shared" si="1250"/>
        <v>0.21774754124420559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0.19066550329793641</v>
      </c>
      <c r="K1102" s="1">
        <f>[2]Residential!G$241-K1076</f>
        <v>0.21859600612196828</v>
      </c>
      <c r="L1102" s="1">
        <f>[2]Residential!H$241-L1076</f>
        <v>0.21774754124420559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51">G1104</f>
        <v>1.9867354090041904</v>
      </c>
      <c r="H1103" s="1">
        <f t="shared" ref="H1103" si="1252">H1104</f>
        <v>0.95046759302000883</v>
      </c>
      <c r="I1103" s="1">
        <f t="shared" ref="I1103" si="1253">I1104</f>
        <v>1.2517690139219557</v>
      </c>
      <c r="J1103" s="1">
        <f t="shared" ref="J1103" si="1254">J1104</f>
        <v>1.4923790942757829</v>
      </c>
      <c r="K1103" s="1">
        <f t="shared" ref="K1103:L1103" si="1255">K1104</f>
        <v>1.8033035338474162</v>
      </c>
      <c r="L1103" s="1">
        <f t="shared" si="1255"/>
        <v>2.0823439997040505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1.4923790942757829</v>
      </c>
      <c r="K1104" s="1">
        <f>[2]Residential!G$242-K1078</f>
        <v>1.8033035338474162</v>
      </c>
      <c r="L1104" s="1">
        <f>[2]Residential!H$242-L1078</f>
        <v>2.0823439997040505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63">IFERROR(G1058/G975,"-")</f>
        <v>0.95000000000000018</v>
      </c>
      <c r="H1109" s="4">
        <f t="shared" si="1263"/>
        <v>0.91767464934725307</v>
      </c>
      <c r="I1109" s="4">
        <f t="shared" si="1263"/>
        <v>0.91951113898441605</v>
      </c>
      <c r="J1109" s="4">
        <f t="shared" si="1263"/>
        <v>0.93477054724092912</v>
      </c>
      <c r="K1109" s="4">
        <f t="shared" si="1263"/>
        <v>0.94387587780118642</v>
      </c>
      <c r="L1109" s="4">
        <f t="shared" ref="L1109" si="1264">IFERROR(L1058/L975,"-")</f>
        <v>0.94820692519825123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3.253333333333329</v>
      </c>
      <c r="H1110" s="4">
        <f t="shared" si="1263"/>
        <v>2.9856661663313946</v>
      </c>
      <c r="I1110" s="4">
        <f t="shared" si="1263"/>
        <v>3.3334855639494605</v>
      </c>
      <c r="J1110" s="4">
        <f t="shared" si="1263"/>
        <v>3.5381149357870658</v>
      </c>
      <c r="K1110" s="4">
        <f t="shared" si="1263"/>
        <v>3.7305409605993387</v>
      </c>
      <c r="L1110" s="4">
        <f t="shared" ref="L1110" si="1265">IFERROR(L1059/L976,"-")</f>
        <v>4.0706302026140326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66">IFERROR(G1061/G985,"-")</f>
        <v>0.89583333333333348</v>
      </c>
      <c r="H1111" s="4">
        <f t="shared" si="1266"/>
        <v>0.85370603748339713</v>
      </c>
      <c r="I1111" s="4">
        <f t="shared" si="1266"/>
        <v>0.86804263474811139</v>
      </c>
      <c r="J1111" s="4">
        <f t="shared" si="1266"/>
        <v>0.86865667530844082</v>
      </c>
      <c r="K1111" s="4">
        <f t="shared" si="1266"/>
        <v>0.86875899770989573</v>
      </c>
      <c r="L1111" s="4">
        <f t="shared" ref="L1111" si="1267">IFERROR(L1061/L985,"-")</f>
        <v>0.86856288821706995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68">IFERROR(G1063/G998,"-")</f>
        <v>0.95</v>
      </c>
      <c r="H1112" s="4">
        <f t="shared" si="1268"/>
        <v>0.93444335653223332</v>
      </c>
      <c r="I1112" s="4">
        <f t="shared" si="1268"/>
        <v>0.93459681475596823</v>
      </c>
      <c r="J1112" s="4">
        <f t="shared" si="1268"/>
        <v>0.93430471938423321</v>
      </c>
      <c r="K1112" s="4">
        <f t="shared" si="1268"/>
        <v>0.93310770375898888</v>
      </c>
      <c r="L1112" s="4">
        <f t="shared" ref="L1112" si="1269">IFERROR(L1063/L998,"-")</f>
        <v>0.9386678037434395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1.8526276331075189</v>
      </c>
      <c r="I1113" s="4">
        <f t="shared" si="1270"/>
        <v>1.9293479825288262</v>
      </c>
      <c r="J1113" s="4">
        <f t="shared" si="1270"/>
        <v>1.9854801800457589</v>
      </c>
      <c r="K1113" s="4">
        <f t="shared" si="1270"/>
        <v>2.0316999479631774</v>
      </c>
      <c r="L1113" s="4">
        <f t="shared" ref="L1113" si="1271">IFERROR(L1064/L999,"-")</f>
        <v>2.1245283497315892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2">IFERROR(G1066/G1017,"-")</f>
        <v>0.71999999999999975</v>
      </c>
      <c r="H1114" s="4">
        <f t="shared" si="1272"/>
        <v>0.79930945612663762</v>
      </c>
      <c r="I1114" s="4">
        <f t="shared" si="1272"/>
        <v>0.7999999999999996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74">IFERROR(G1074/G1022,"-")</f>
        <v>0.71999999999999986</v>
      </c>
      <c r="H1119" s="4">
        <f t="shared" si="1274"/>
        <v>0.72055926837492223</v>
      </c>
      <c r="I1119" s="4">
        <f t="shared" si="1274"/>
        <v>0.7260956537579335</v>
      </c>
      <c r="J1119" s="4">
        <f t="shared" si="1274"/>
        <v>0.72788470340509281</v>
      </c>
      <c r="K1119" s="4">
        <f t="shared" si="1274"/>
        <v>0.72998964692162149</v>
      </c>
      <c r="L1119" s="4">
        <f t="shared" ref="L1119" si="1275">IFERROR(L1074/L1022,"-")</f>
        <v>0.74883031039899706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76">IFERROR(G1076/G1027,"-")</f>
        <v>0.90000000000000047</v>
      </c>
      <c r="H1120" s="4">
        <f t="shared" si="1276"/>
        <v>0.73786592864030853</v>
      </c>
      <c r="I1120" s="4">
        <f t="shared" si="1276"/>
        <v>0.73957683356853987</v>
      </c>
      <c r="J1120" s="4">
        <f t="shared" si="1276"/>
        <v>0.74043135067760268</v>
      </c>
      <c r="K1120" s="4">
        <f t="shared" si="1276"/>
        <v>0.74119629529570308</v>
      </c>
      <c r="L1120" s="4">
        <f t="shared" ref="L1120" si="1277">IFERROR(L1076/L1027,"-")</f>
        <v>0.74751149619234736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80">IFERROR(G1084/G978,"-")</f>
        <v>0.79199999999999982</v>
      </c>
      <c r="H1123" s="4">
        <f t="shared" si="1280"/>
        <v>0.46564650876640512</v>
      </c>
      <c r="I1123" s="4">
        <f t="shared" si="1280"/>
        <v>0.4851306404908754</v>
      </c>
      <c r="J1123" s="4">
        <f t="shared" si="1280"/>
        <v>0.49745305074424195</v>
      </c>
      <c r="K1123" s="4">
        <f t="shared" si="1280"/>
        <v>0.50531891743356905</v>
      </c>
      <c r="L1123" s="4">
        <f t="shared" ref="L1123" si="1281">IFERROR(L1084/L978,"-")</f>
        <v>0.51803334581502514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80"/>
        <v>2.8260000000000036</v>
      </c>
      <c r="H1124" s="4">
        <f t="shared" si="1280"/>
        <v>1.8852023477859694</v>
      </c>
      <c r="I1124" s="4">
        <f t="shared" si="1280"/>
        <v>2.1566251432694217</v>
      </c>
      <c r="J1124" s="4">
        <f t="shared" si="1280"/>
        <v>2.3333035680261505</v>
      </c>
      <c r="K1124" s="4">
        <f t="shared" si="1280"/>
        <v>2.4734276421667496</v>
      </c>
      <c r="L1124" s="4">
        <f t="shared" ref="L1124" si="1282">IFERROR(L1085/L979,"-")</f>
        <v>2.7401108487573409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83">IFERROR(G1087/G991,"-")</f>
        <v>0.71458333333333257</v>
      </c>
      <c r="H1125" s="4">
        <f t="shared" si="1283"/>
        <v>0.50144366903101667</v>
      </c>
      <c r="I1125" s="4">
        <f t="shared" si="1283"/>
        <v>0.53560712669759847</v>
      </c>
      <c r="J1125" s="4">
        <f t="shared" si="1283"/>
        <v>0.54919788784690404</v>
      </c>
      <c r="K1125" s="4">
        <f t="shared" si="1283"/>
        <v>0.55618338738014239</v>
      </c>
      <c r="L1125" s="4">
        <f t="shared" ref="L1125" si="1284">IFERROR(L1087/L991,"-")</f>
        <v>0.58749545839965722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85">IFERROR(G1089/G1007,"-")</f>
        <v>0.75400000000000211</v>
      </c>
      <c r="H1126" s="4">
        <f t="shared" si="1285"/>
        <v>0.52868651558452018</v>
      </c>
      <c r="I1126" s="4">
        <f t="shared" si="1285"/>
        <v>0.55146439229039734</v>
      </c>
      <c r="J1126" s="4">
        <f t="shared" si="1285"/>
        <v>0.55514223112758232</v>
      </c>
      <c r="K1126" s="4">
        <f t="shared" si="1285"/>
        <v>0.56107686790524247</v>
      </c>
      <c r="L1126" s="4">
        <f t="shared" ref="L1126" si="1286">IFERROR(L1089/L1007,"-")</f>
        <v>0.57054063615660622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2.0052414645307399</v>
      </c>
      <c r="I1127" s="4">
        <f t="shared" si="1287"/>
        <v>2.2895743631667198</v>
      </c>
      <c r="J1127" s="4">
        <f t="shared" si="1287"/>
        <v>2.5047126797941899</v>
      </c>
      <c r="K1127" s="4">
        <f t="shared" si="1287"/>
        <v>2.6576733693593817</v>
      </c>
      <c r="L1127" s="4">
        <f t="shared" ref="L1127" si="1288">IFERROR(L1090/L1008,"-")</f>
        <v>3.1750878352208205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89">IFERROR(G1100/G1024,"-")</f>
        <v>0.49999999999999989</v>
      </c>
      <c r="H1132" s="4">
        <f t="shared" si="1289"/>
        <v>0.43911546406961105</v>
      </c>
      <c r="I1132" s="4">
        <f t="shared" si="1289"/>
        <v>0.45230912560523717</v>
      </c>
      <c r="J1132" s="4">
        <f t="shared" si="1289"/>
        <v>0.46227673380170392</v>
      </c>
      <c r="K1132" s="4">
        <f t="shared" si="1289"/>
        <v>0.47248793261853494</v>
      </c>
      <c r="L1132" s="4">
        <f t="shared" ref="L1132" si="1290">IFERROR(L1100/L1024,"-")</f>
        <v>0.4960355101346795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91">IFERROR(G1102/G1029,"-")</f>
        <v>0.62499999999999978</v>
      </c>
      <c r="H1133" s="4">
        <f t="shared" si="1291"/>
        <v>0.45620574813728626</v>
      </c>
      <c r="I1133" s="4">
        <f t="shared" si="1291"/>
        <v>0.46607983012118964</v>
      </c>
      <c r="J1133" s="4">
        <f t="shared" si="1291"/>
        <v>0.47377495008214687</v>
      </c>
      <c r="K1133" s="4">
        <f t="shared" si="1291"/>
        <v>0.48157543309615675</v>
      </c>
      <c r="L1133" s="4">
        <f t="shared" ref="L1133" si="1292">IFERROR(L1102/L1029,"-")</f>
        <v>0.49619876827717252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139.10901304563157</v>
      </c>
      <c r="G1136" s="3">
        <f t="shared" si="1295"/>
        <v>133.30035883396201</v>
      </c>
      <c r="H1136" s="3">
        <f t="shared" si="1295"/>
        <v>121.16690581598104</v>
      </c>
      <c r="I1136" s="3">
        <f t="shared" si="1295"/>
        <v>87.579374328983405</v>
      </c>
      <c r="J1136" s="3">
        <f t="shared" si="1295"/>
        <v>61.582695799739639</v>
      </c>
      <c r="K1136" s="3">
        <f t="shared" si="1295"/>
        <v>52.848273895404979</v>
      </c>
      <c r="L1136" s="3">
        <f t="shared" ref="L1136" si="1296">L1137+L1152+L1157+L1180+L1203</f>
        <v>42.955408733471693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97">SUM(G1138:G1151)</f>
        <v>1.7836920174801887</v>
      </c>
      <c r="H1137" s="1">
        <f t="shared" si="1297"/>
        <v>4.4704323958434085</v>
      </c>
      <c r="I1137" s="1">
        <f t="shared" si="1297"/>
        <v>18.436005649704178</v>
      </c>
      <c r="J1137" s="1">
        <f t="shared" si="1297"/>
        <v>35.394705840444971</v>
      </c>
      <c r="K1137" s="1">
        <f t="shared" si="1297"/>
        <v>41.101045662841656</v>
      </c>
      <c r="L1137" s="1">
        <f t="shared" ref="L1137" si="1298">SUM(L1138:L1151)</f>
        <v>41.447052669691253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1.0840004280261022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1.2924334139283069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1.2541266141899088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11.326758536710827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12.501406852226086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11.399781866000525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1.3285395819788244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5.1440104419535109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9.8539706267927016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17.021229388228672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17.604970425987627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16.799117890990146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3.105199113008386E-5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2.3046464554763136E-5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5.9225002056236334E-6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1.8823020692131701E-3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1.8720446923203756E-4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2.3744089545858841E-5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2.5860273751289848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2.2787243803729913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0.62851603257420241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5.4559586575957083E-3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5.4919078652263225E-4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3.0946848392616337E-5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3.2077854866946666E-5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2.3825563841995208E-5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6.0560594550189823E-6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3.6208569854683989E-4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2.5355668855368401E-4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2.668956071051932E-5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1.8456793510078362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1.6169604553844972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0.43864480169284287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2.7375763092868381E-2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1.1971549921629014E-2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3.4209139942861631E-5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0.16733193999949741</v>
      </c>
      <c r="K1151" s="1">
        <f>[2]Transport!G$32</f>
        <v>0.64953131909429251</v>
      </c>
      <c r="L1151" s="1">
        <f>[2]Transport!H$32</f>
        <v>1.0727672692526673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303">SUM(G1153:G1156)</f>
        <v>2.054781507168158E-3</v>
      </c>
      <c r="H1152" s="1">
        <f t="shared" si="1303"/>
        <v>1.9839872413707407E-3</v>
      </c>
      <c r="I1152" s="1">
        <f t="shared" si="1303"/>
        <v>3.794880376819297E-5</v>
      </c>
      <c r="J1152" s="1">
        <f t="shared" si="1303"/>
        <v>0</v>
      </c>
      <c r="K1152" s="1">
        <f t="shared" si="1303"/>
        <v>0</v>
      </c>
      <c r="L1152" s="1">
        <f t="shared" ref="L1152" si="1304">SUM(L1153:L1156)</f>
        <v>0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0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0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0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0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0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0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0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0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305">SUM(G1162:G1179)</f>
        <v>72.384643083128907</v>
      </c>
      <c r="H1157" s="1">
        <f t="shared" si="1305"/>
        <v>70.759876775138181</v>
      </c>
      <c r="I1157" s="1">
        <f t="shared" si="1305"/>
        <v>41.372279231434533</v>
      </c>
      <c r="J1157" s="1">
        <f t="shared" si="1305"/>
        <v>16.659037301648013</v>
      </c>
      <c r="K1157" s="1">
        <f t="shared" si="1305"/>
        <v>7.0576002402093394</v>
      </c>
      <c r="L1157" s="1">
        <f t="shared" ref="L1157" si="1306">SUM(L1162:L1179)</f>
        <v>0.89332317019579766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73.743531386422745</v>
      </c>
      <c r="G1158" s="1">
        <f t="shared" si="1307"/>
        <v>68.421863238646381</v>
      </c>
      <c r="H1158" s="1">
        <f t="shared" si="1307"/>
        <v>66.886430648317358</v>
      </c>
      <c r="I1158" s="1">
        <f t="shared" si="1307"/>
        <v>39.107199410712447</v>
      </c>
      <c r="J1158" s="1">
        <f t="shared" si="1307"/>
        <v>14.99407513509593</v>
      </c>
      <c r="K1158" s="1">
        <f>IF(K1157-K1159&lt;0,0,K1157-K1159)</f>
        <v>6.6711186865918544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309">SUM(G1160:G1161)</f>
        <v>3.9627798444825282</v>
      </c>
      <c r="H1159" s="1">
        <f t="shared" ref="H1159" si="1310">SUM(H1160:H1161)</f>
        <v>3.8734461268208267</v>
      </c>
      <c r="I1159" s="1">
        <f t="shared" ref="I1159" si="1311">SUM(I1160:I1161)</f>
        <v>2.2650798207220864</v>
      </c>
      <c r="J1159" s="1">
        <f t="shared" ref="J1159" si="1312">SUM(J1160:J1161)</f>
        <v>1.6649621665520837</v>
      </c>
      <c r="K1159" s="1">
        <f t="shared" ref="K1159:L1159" si="1313">SUM(K1160:K1161)</f>
        <v>0.38648155361748532</v>
      </c>
      <c r="L1159" s="1">
        <f t="shared" si="1313"/>
        <v>0.89532181209727535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1.6649621665520837</v>
      </c>
      <c r="K1160" s="1">
        <f>[2]Transport!G$25/SUM([2]Transport!G$21,[2]Transport!G$25)*K1157*(K$35+K$600)/(K$35+K$600+K$39)</f>
        <v>0.38644685644755344</v>
      </c>
      <c r="L1160" s="1">
        <f>[2]Transport!H$25/SUM([2]Transport!H$21,[2]Transport!H$25)*L1157*(L$35+L$600)/(L$35+L$600+L$39)</f>
        <v>0.75932389728128691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3.4697169931874802E-5</v>
      </c>
      <c r="L1161" s="1">
        <f>(L$39+L$719)/([2]Transport!H$21+[2]Transport!H$25)*L1157</f>
        <v>0.13599791481598841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2.373964671235075E-3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3.5788012446313921E-4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0.40676019966364674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3.8453425614384654E-2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0.29860280784122667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1.5709215248734277E-5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1.5535954548915281E-2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1.779012215015013E-5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0.63997270620336111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8.4483635078160924E-2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0.73651490119199559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7.7916900109721465E-2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0.26615939909276598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1.1270481427536425E-3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2.1318648441460821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0.26330591459620545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1.3375394576592902E-4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4.4905875459721967E-5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1.1815214800367211E-4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3.3421119676738616E-5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1.1674608061501867E-4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2.8690170012782293E-5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1.5357711856838041E-4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4.3258943893357062E-5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2.3864162081035665E-4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1.1176709971417298E-4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1.474518135813083E-5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1.2074338367213664E-2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7.3656326210317811E-4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4.6075437567770363E-5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12.120265237652763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6.5891733352055546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0.89321435442199892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2.8152077355044221E-2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1.7499955298365922E-3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4.7995154872821467E-5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14">SUM(G1185:G1202)</f>
        <v>59.019708183113856</v>
      </c>
      <c r="H1180" s="1">
        <f t="shared" si="1314"/>
        <v>45.824802842208157</v>
      </c>
      <c r="I1180" s="1">
        <f t="shared" si="1314"/>
        <v>27.770355341444574</v>
      </c>
      <c r="J1180" s="1">
        <f t="shared" si="1314"/>
        <v>9.510335947115756</v>
      </c>
      <c r="K1180" s="1">
        <f t="shared" si="1314"/>
        <v>4.6865521936158014</v>
      </c>
      <c r="L1180" s="1">
        <f t="shared" ref="L1180" si="1315">SUM(L1185:L1202)</f>
        <v>0.61503289358463964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16">IF(G1180-G1182&lt;0,0,G1180-G1182)</f>
        <v>57.481400379334531</v>
      </c>
      <c r="H1181" s="1">
        <f t="shared" si="1316"/>
        <v>43.768509668373127</v>
      </c>
      <c r="I1181" s="1">
        <f t="shared" si="1316"/>
        <v>26.525933732164308</v>
      </c>
      <c r="J1181" s="1">
        <f t="shared" si="1316"/>
        <v>8.8429354128454083</v>
      </c>
      <c r="K1181" s="1">
        <f t="shared" si="1316"/>
        <v>4.1025964633921337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1.5014478825510007</v>
      </c>
      <c r="G1182" s="1">
        <f t="shared" ref="G1182" si="1320">SUM(G1183:G1184)</f>
        <v>1.5383078037793236</v>
      </c>
      <c r="H1182" s="1">
        <f t="shared" ref="H1182" si="1321">SUM(H1183:H1184)</f>
        <v>2.0562931738350296</v>
      </c>
      <c r="I1182" s="1">
        <f t="shared" ref="I1182" si="1322">SUM(I1183:I1184)</f>
        <v>1.2444216092802654</v>
      </c>
      <c r="J1182" s="1">
        <f t="shared" ref="J1182" si="1323">SUM(J1183:J1184)</f>
        <v>0.6674005342703474</v>
      </c>
      <c r="K1182" s="1">
        <f t="shared" ref="K1182:L1182" si="1324">SUM(K1183:K1184)</f>
        <v>0.58395573022366787</v>
      </c>
      <c r="L1182" s="1">
        <f t="shared" si="1324"/>
        <v>0.66572486484991777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0.6674005342703474</v>
      </c>
      <c r="K1183" s="1">
        <f>[2]Transport!G$26/SUM([2]Transport!G$22,[2]Transport!G$26)*K1180*(K$34+K$582)/(K$34+K$582+K$38)</f>
        <v>0.58394265443151094</v>
      </c>
      <c r="L1183" s="1">
        <f>[2]Transport!H$26/SUM([2]Transport!H$22,[2]Transport!H$26)*L1180*(L$34+L$582)/(L$34+L$582+L$38)</f>
        <v>0.51724277072499381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1.3075792156964132E-5</v>
      </c>
      <c r="L1184" s="1">
        <f>(L$38+L$718)/([2]Transport!H$22+[2]Transport!H$26)*L1180</f>
        <v>0.148482094124924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3.3752001698115201E-2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3.4491324968358313E-5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0.55606471422025172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3.7039769028581866E-2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6.0258801686496897E-3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1.3374329829328706E-5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1.2253361509622321E-2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1.4761846575146681E-5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1.5140030936373607E-4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1.952065290496689E-5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2.0258179510196487E-2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2.1065648479550263E-5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0.1380201535868916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1.8667013618222136E-5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7.6753036325393417E-2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1.3330289410649679E-5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9.7373210333221412E-5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3.1535202752825551E-5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9.2734251286299084E-5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2.6041552136870682E-5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8.8882715705168857E-5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2.2089916430732534E-5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6.0426824245418311E-5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1.5506918359712831E-5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2.4158970662505082E-4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1.1344935882382308E-4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1.5010953310288105E-5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2.2657832756891394E-3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9.8687892247572954E-4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5.1400500738294405E-5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8.524618644195014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4.6100392309090896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0.61491362924048665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0.13959178560837446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3.8142480701364112E-2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5.2852890104318602E-5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25">SUM(G1208:G1212)</f>
        <v>0.11026076873188689</v>
      </c>
      <c r="H1203" s="1">
        <f t="shared" si="1325"/>
        <v>0.10980981554992712</v>
      </c>
      <c r="I1203" s="1">
        <f t="shared" si="1325"/>
        <v>6.961575963515237E-4</v>
      </c>
      <c r="J1203" s="1">
        <f t="shared" si="1325"/>
        <v>1.8616710530897654E-2</v>
      </c>
      <c r="K1203" s="1">
        <f t="shared" si="1325"/>
        <v>3.0757987381781794E-3</v>
      </c>
      <c r="L1203" s="1">
        <f t="shared" ref="L1203" si="1326">SUM(L1208:L1212)</f>
        <v>0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27">IF(G1203-G1205&lt;0,0,G1203-G1205)</f>
        <v>9.970620225528351E-2</v>
      </c>
      <c r="H1204" s="1">
        <f t="shared" si="1327"/>
        <v>0.10869740178938136</v>
      </c>
      <c r="I1204" s="1">
        <f t="shared" si="1327"/>
        <v>6.8132741714958551E-4</v>
      </c>
      <c r="J1204" s="1">
        <f t="shared" si="1327"/>
        <v>0</v>
      </c>
      <c r="K1204" s="1">
        <f t="shared" si="1327"/>
        <v>0</v>
      </c>
      <c r="L1204" s="1">
        <f t="shared" si="1327"/>
        <v>0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28">SUM(G1206:G1207)</f>
        <v>1.0554566476603388E-2</v>
      </c>
      <c r="H1205" s="1">
        <f t="shared" ref="H1205" si="1329">SUM(H1206:H1207)</f>
        <v>1.1124137605457622E-3</v>
      </c>
      <c r="I1205" s="1">
        <f t="shared" ref="I1205" si="1330">SUM(I1206:I1207)</f>
        <v>1.4830179201938203E-5</v>
      </c>
      <c r="J1205" s="1">
        <f t="shared" ref="J1205" si="1331">SUM(J1206:J1207)</f>
        <v>3.7879349735322546E-2</v>
      </c>
      <c r="K1205" s="1">
        <f t="shared" ref="K1205:L1205" si="1332">SUM(K1206:K1207)</f>
        <v>5.7481261686962958E-2</v>
      </c>
      <c r="L1205" s="1">
        <f t="shared" si="1332"/>
        <v>0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6.8532174253054425E-6</v>
      </c>
      <c r="K1206" s="1">
        <f>[2]Transport!G$27/SUM([2]Transport!G$24,[2]Transport!G$27)*K1203*(K$47+K$614)/(K$47+K$614+K$49)</f>
        <v>4.4284150524108462E-4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3.7872496517897238E-2</v>
      </c>
      <c r="K1207" s="1">
        <f>(K$49+K$716)/([2]Transport!G$24+[2]Transport!G$27)*K1203</f>
        <v>5.7038420181721873E-2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9.4187769405895954E-5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2.2803140070477913E-5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1.9132984490461576E-3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4.3395431876896306E-5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3.2946630639944688E-3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4.7364043120583444E-4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1.3314561248451132E-2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2.535959735024971E-3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33">SUM(G1214:G1263)</f>
        <v>55.671172353764831</v>
      </c>
      <c r="H1213" s="3">
        <f t="shared" si="1333"/>
        <v>58.440065270355838</v>
      </c>
      <c r="I1213" s="3">
        <f t="shared" si="1333"/>
        <v>62.339297485690388</v>
      </c>
      <c r="J1213" s="3">
        <f t="shared" si="1333"/>
        <v>66.602457589528797</v>
      </c>
      <c r="K1213" s="3">
        <f t="shared" si="1333"/>
        <v>66.742675767736074</v>
      </c>
      <c r="L1213" s="3">
        <f t="shared" ref="L1213" si="1334">SUM(L1214:L1263)</f>
        <v>66.327479490074438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2.0248183266795974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2.4867205790950195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2.6549234230086109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17.226669975407479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19.51003887419872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19.576097700739819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1.8516770770869511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7.5477470965165399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15.786732170585898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22.643196935341376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24.28971187870955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25.572104889799782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2.2762078937876027E-4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1.2655478859389962E-4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2.5182510891686504E-5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1.0033559218528811E-2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7.5369315139203112E-4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7.0748229061272494E-5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10.415044698171227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7.3184751483362636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1.612156171008331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2.2258104483639508E-2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1.7457477089720568E-3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7.4573001464591271E-5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2.3559849540428026E-4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1.3098284670406873E-4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2.5783933331498893E-5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1.9120482166873787E-3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1.025686277056452E-3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7.9455440068485264E-5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7.4333187947146984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5.193097071225524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1.1251069569443486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0.111907592133984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3.8716130193498309E-2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8.2434872820523285E-5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0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0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0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0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0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0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0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0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2.9310777803412684E-3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3.1669709939988286E-4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0.77013754224679554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7.1454395043818952E-2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0.76114435136268244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1.4023403177602753E-5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2.4982338975259994E-2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1.3436774073486006E-5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0.38357812674547426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5.0609041931348783E-2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0.41638906246778712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4.3138540325611333E-2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0.13772907133763249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5.4217206122828432E-4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0.92539179706853325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0.11439309721904871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7.8078403348463848E-5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2.7048565635477278E-5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5.5184106443734359E-5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1.6216069826078562E-5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5.0282151087483478E-5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1.2911367148604781E-5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6.7310115604385241E-5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1.9688399185598725E-5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5.7244915595194255E-2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3.3210731047180306E-5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1.2142463693426711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7.2320732171760618E-2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8.912944044151461E-3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1.0745198163319959E-5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1.9453535766352847E-2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1.1468025505599065E-5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1.3140849368471004E-4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1.3006539738315686E-5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1.6844268547290535E-2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1.1387495476823229E-5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8.1633087156565518E-2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8.9222235660782193E-6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2.9973463027809386E-2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5.6758731856533612E-6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6.030081289734626E-5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2.0099597701588234E-5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4.6124042898091215E-5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1.3406779765309776E-5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4.0856400289768586E-5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1.0562821866659782E-5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2.6446357024883979E-5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7.0465083142449853E-6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5.4233509344457847E-5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1.2740550598189991E-5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1.0736751188530822E-3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1.9420947935475124E-5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1.631553127040401E-3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2.3050654495897891E-4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7.2498546867771707E-3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1.1001244191227049E-3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0.88951199431361327</v>
      </c>
      <c r="G1265" s="1">
        <f t="shared" si="1338"/>
        <v>0.95694536964701871</v>
      </c>
      <c r="H1265" s="1">
        <f t="shared" si="1338"/>
        <v>1.0580954326471248</v>
      </c>
      <c r="I1265" s="1">
        <f t="shared" si="1338"/>
        <v>1.2266788709806387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1.8116719735064506</v>
      </c>
      <c r="G1266" s="1">
        <f t="shared" si="1338"/>
        <v>1.8116719735064497</v>
      </c>
      <c r="H1266" s="1">
        <f t="shared" si="1338"/>
        <v>1.8116719735064493</v>
      </c>
      <c r="I1266" s="1">
        <f t="shared" si="1338"/>
        <v>1.8116719735064504</v>
      </c>
      <c r="J1266" s="1">
        <f t="shared" si="1338"/>
        <v>1.8679128479374003</v>
      </c>
      <c r="K1266" s="1">
        <f t="shared" si="1338"/>
        <v>1.9240608856875017</v>
      </c>
      <c r="L1266" s="1">
        <f t="shared" ref="L1266" si="1343">IFERROR(L1215/L1139,"-")</f>
        <v>2.1169500694501515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1.4637982671179683</v>
      </c>
      <c r="G1267" s="1">
        <f t="shared" si="1338"/>
        <v>1.4637982671179692</v>
      </c>
      <c r="H1267" s="1">
        <f t="shared" si="1338"/>
        <v>1.4637982671179695</v>
      </c>
      <c r="I1267" s="1">
        <f t="shared" si="1338"/>
        <v>1.4637982671179699</v>
      </c>
      <c r="J1267" s="1">
        <f t="shared" si="1338"/>
        <v>1.5208826002227045</v>
      </c>
      <c r="K1267" s="1">
        <f t="shared" si="1338"/>
        <v>1.5606274641581341</v>
      </c>
      <c r="L1267" s="1">
        <f t="shared" ref="L1267" si="1344">IFERROR(L1216/L1140,"-")</f>
        <v>1.7172344112236819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1.3374527251491974</v>
      </c>
      <c r="G1268" s="1">
        <f t="shared" si="1338"/>
        <v>1.3374527251491997</v>
      </c>
      <c r="H1268" s="1">
        <f t="shared" si="1338"/>
        <v>1.3374527251491992</v>
      </c>
      <c r="I1268" s="1">
        <f t="shared" si="1338"/>
        <v>1.3374527251492001</v>
      </c>
      <c r="J1268" s="1">
        <f t="shared" si="1338"/>
        <v>1.3937688437772604</v>
      </c>
      <c r="K1268" s="1">
        <f t="shared" si="1338"/>
        <v>1.4672884477369326</v>
      </c>
      <c r="L1268" s="1">
        <f t="shared" ref="L1268" si="1345">IFERROR(L1217/L1141,"-")</f>
        <v>1.6020681173599367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1.2949729235430802</v>
      </c>
      <c r="G1269" s="1">
        <f t="shared" si="1338"/>
        <v>1.29497292354308</v>
      </c>
      <c r="H1269" s="1">
        <f t="shared" si="1338"/>
        <v>1.2949729235430825</v>
      </c>
      <c r="I1269" s="1">
        <f t="shared" si="1338"/>
        <v>1.2949729235430785</v>
      </c>
      <c r="J1269" s="1">
        <f t="shared" si="1338"/>
        <v>1.3302915094370724</v>
      </c>
      <c r="K1269" s="1">
        <f t="shared" si="1338"/>
        <v>1.379707621823336</v>
      </c>
      <c r="L1269" s="1">
        <f t="shared" ref="L1269" si="1346">IFERROR(L1218/L1142,"-")</f>
        <v>1.5222290274845229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0.71169219736876554</v>
      </c>
      <c r="G1270" s="1">
        <f t="shared" si="1347"/>
        <v>0.76045759915277311</v>
      </c>
      <c r="H1270" s="1">
        <f t="shared" si="1347"/>
        <v>0.7719912166756423</v>
      </c>
      <c r="I1270" s="1">
        <f t="shared" si="1347"/>
        <v>0.81221331984641087</v>
      </c>
      <c r="J1270" s="1">
        <f t="shared" si="1347"/>
        <v>0.84399770443590771</v>
      </c>
      <c r="K1270" s="1">
        <f t="shared" si="1347"/>
        <v>0.9387392825060149</v>
      </c>
      <c r="L1270" s="1">
        <f t="shared" ref="L1270" si="1348">IFERROR(L1219/SUM(L1143,L1176),"-")</f>
        <v>1.2184487560447919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0.62717019839187682</v>
      </c>
      <c r="G1271" s="1">
        <f t="shared" si="1347"/>
        <v>0.63281104738169791</v>
      </c>
      <c r="H1271" s="1">
        <f t="shared" si="1347"/>
        <v>0.6441372045922531</v>
      </c>
      <c r="I1271" s="1">
        <f t="shared" si="1347"/>
        <v>0.68360945254304784</v>
      </c>
      <c r="J1271" s="1">
        <f t="shared" si="1347"/>
        <v>0.7189093438519214</v>
      </c>
      <c r="K1271" s="1">
        <f t="shared" si="1347"/>
        <v>0.81589032158835162</v>
      </c>
      <c r="L1271" s="1">
        <f t="shared" ref="L1271" si="1349">IFERROR(L1220/SUM(L1144,L1177),"-")</f>
        <v>1.0133014643042748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0.54553544461846004</v>
      </c>
      <c r="G1272" s="1">
        <f t="shared" si="1347"/>
        <v>0.60404151237800441</v>
      </c>
      <c r="H1272" s="1">
        <f t="shared" si="1347"/>
        <v>0.61793099124922646</v>
      </c>
      <c r="I1272" s="1">
        <f t="shared" si="1347"/>
        <v>0.66531832226203924</v>
      </c>
      <c r="J1272" s="1">
        <f t="shared" si="1347"/>
        <v>0.70820328225477791</v>
      </c>
      <c r="K1272" s="1">
        <f t="shared" si="1347"/>
        <v>0.8252773524304009</v>
      </c>
      <c r="L1272" s="1">
        <f t="shared" ref="L1272" si="1350">IFERROR(L1221/SUM(L1145,L1178),"-")</f>
        <v>1.0594229994911413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0.51975568473665834</v>
      </c>
      <c r="G1273" s="1">
        <f t="shared" si="1347"/>
        <v>0.57147693905086683</v>
      </c>
      <c r="H1273" s="1">
        <f t="shared" si="1347"/>
        <v>0.58369805276976561</v>
      </c>
      <c r="I1273" s="1">
        <f t="shared" si="1347"/>
        <v>0.62533047196786984</v>
      </c>
      <c r="J1273" s="1">
        <f t="shared" si="1347"/>
        <v>0.66228518903241673</v>
      </c>
      <c r="K1273" s="1">
        <f t="shared" si="1347"/>
        <v>0.75928936100161692</v>
      </c>
      <c r="L1273" s="1">
        <f t="shared" ref="L1273" si="1351">IFERROR(L1222/SUM(L1146,L1179),"-")</f>
        <v>0.94465554938913787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0.72840569582556891</v>
      </c>
      <c r="G1274" s="1">
        <f t="shared" si="1352"/>
        <v>0.77498037855810875</v>
      </c>
      <c r="H1274" s="1">
        <f t="shared" si="1352"/>
        <v>0.78665813591556155</v>
      </c>
      <c r="I1274" s="1">
        <f t="shared" si="1352"/>
        <v>0.82714045691154936</v>
      </c>
      <c r="J1274" s="1">
        <f t="shared" si="1352"/>
        <v>0.8608930269989985</v>
      </c>
      <c r="K1274" s="1">
        <f t="shared" si="1352"/>
        <v>0.9541644180921014</v>
      </c>
      <c r="L1274" s="1">
        <f t="shared" ref="L1274" si="1353">IFERROR(L1223/SUM(L1147,L1199),"-")</f>
        <v>1.2239007788498413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0.40803767525807377</v>
      </c>
      <c r="G1275" s="1">
        <f t="shared" si="1352"/>
        <v>0.64106311995814891</v>
      </c>
      <c r="H1275" s="1">
        <f t="shared" si="1352"/>
        <v>0.65263141950364856</v>
      </c>
      <c r="I1275" s="1">
        <f t="shared" si="1352"/>
        <v>0.69324684747586562</v>
      </c>
      <c r="J1275" s="1">
        <f t="shared" si="1352"/>
        <v>0.72760409116032243</v>
      </c>
      <c r="K1275" s="1">
        <f t="shared" si="1352"/>
        <v>0.82687587161840259</v>
      </c>
      <c r="L1275" s="1">
        <f t="shared" ref="L1275" si="1354">IFERROR(L1224/SUM(L1148,L1200),"-")</f>
        <v>1.0174846657095604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0.55063117043437204</v>
      </c>
      <c r="G1276" s="1">
        <f t="shared" si="1352"/>
        <v>0.61232923187651045</v>
      </c>
      <c r="H1276" s="1">
        <f t="shared" si="1352"/>
        <v>0.62626243445903051</v>
      </c>
      <c r="I1276" s="1">
        <f t="shared" si="1352"/>
        <v>0.67373997638800254</v>
      </c>
      <c r="J1276" s="1">
        <f t="shared" si="1352"/>
        <v>0.71678931484449571</v>
      </c>
      <c r="K1276" s="1">
        <f t="shared" si="1352"/>
        <v>0.83396456284656428</v>
      </c>
      <c r="L1276" s="1">
        <f t="shared" ref="L1276" si="1355">IFERROR(L1225/SUM(L1149,L1201),"-")</f>
        <v>1.067911303170566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0.52693764315380709</v>
      </c>
      <c r="G1277" s="1">
        <f t="shared" si="1352"/>
        <v>0.57890319760521058</v>
      </c>
      <c r="H1277" s="1">
        <f t="shared" si="1352"/>
        <v>0.59088987624402201</v>
      </c>
      <c r="I1277" s="1">
        <f t="shared" si="1352"/>
        <v>0.63287976476487717</v>
      </c>
      <c r="J1277" s="1">
        <f t="shared" si="1352"/>
        <v>0.67023558173104458</v>
      </c>
      <c r="K1277" s="1">
        <f t="shared" si="1352"/>
        <v>0.77256069232904057</v>
      </c>
      <c r="L1277" s="1">
        <f t="shared" ref="L1277" si="1356">IFERROR(L1226/SUM(L1150,L1202),"-")</f>
        <v>0.94685217856567983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1.0965696656165185</v>
      </c>
      <c r="H1278" s="1">
        <f t="shared" si="1357"/>
        <v>1.0965696656165191</v>
      </c>
      <c r="I1278" s="1">
        <f t="shared" si="1357"/>
        <v>1.0965696656165203</v>
      </c>
      <c r="J1278" s="1" t="str">
        <f t="shared" si="1357"/>
        <v>-</v>
      </c>
      <c r="K1278" s="1" t="str">
        <f t="shared" si="1357"/>
        <v>-</v>
      </c>
      <c r="L1278" s="1" t="str">
        <f t="shared" ref="L1278" si="1358">IFERROR(L1227/L1153,"-")</f>
        <v>-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0.89149519806162036</v>
      </c>
      <c r="G1279" s="1">
        <f t="shared" si="1359"/>
        <v>0.89149519806162025</v>
      </c>
      <c r="H1279" s="1">
        <f t="shared" si="1359"/>
        <v>0.89149519806162369</v>
      </c>
      <c r="I1279" s="1">
        <f t="shared" si="1359"/>
        <v>0.89149519806162048</v>
      </c>
      <c r="J1279" s="1" t="str">
        <f t="shared" si="1359"/>
        <v>-</v>
      </c>
      <c r="K1279" s="1" t="str">
        <f t="shared" si="1359"/>
        <v>-</v>
      </c>
      <c r="L1279" s="1" t="str">
        <f t="shared" ref="L1279" si="1360">IFERROR(L1228/L1154,"-")</f>
        <v>-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0.8300050725649063</v>
      </c>
      <c r="G1280" s="1">
        <f t="shared" si="1361"/>
        <v>0.83000507256490719</v>
      </c>
      <c r="H1280" s="1">
        <f t="shared" si="1361"/>
        <v>0.83000507256490574</v>
      </c>
      <c r="I1280" s="1">
        <f t="shared" si="1361"/>
        <v>0.83000507256490463</v>
      </c>
      <c r="J1280" s="1" t="str">
        <f t="shared" si="1361"/>
        <v>-</v>
      </c>
      <c r="K1280" s="1" t="str">
        <f t="shared" si="1361"/>
        <v>-</v>
      </c>
      <c r="L1280" s="1" t="str">
        <f t="shared" ref="L1280" si="1362">IFERROR(L1229/L1155,"-")</f>
        <v>-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0.83675282096654124</v>
      </c>
      <c r="H1281" s="1">
        <f t="shared" si="1363"/>
        <v>0.83675282096654169</v>
      </c>
      <c r="I1281" s="1">
        <f t="shared" si="1363"/>
        <v>0.83675282096654124</v>
      </c>
      <c r="J1281" s="1" t="str">
        <f t="shared" si="1363"/>
        <v>-</v>
      </c>
      <c r="K1281" s="1" t="str">
        <f t="shared" si="1363"/>
        <v>-</v>
      </c>
      <c r="L1281" s="1" t="str">
        <f t="shared" ref="L1281" si="1364">IFERROR(L1230/L1156,"-")</f>
        <v>-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0.49379534694678323</v>
      </c>
      <c r="G1282" s="1">
        <f t="shared" si="1365"/>
        <v>0.50503220860251374</v>
      </c>
      <c r="H1282" s="1">
        <f t="shared" si="1365"/>
        <v>0.52188750108610982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1.1351920367718449</v>
      </c>
      <c r="G1283" s="1">
        <f t="shared" si="1365"/>
        <v>1.1615150859911099</v>
      </c>
      <c r="H1283" s="1">
        <f t="shared" si="1365"/>
        <v>1.1584641947250416</v>
      </c>
      <c r="I1283" s="1">
        <f t="shared" si="1365"/>
        <v>1.197122002013443</v>
      </c>
      <c r="J1283" s="1">
        <f t="shared" si="1365"/>
        <v>1.2346762425981472</v>
      </c>
      <c r="K1283" s="1">
        <f t="shared" si="1365"/>
        <v>0.88492508455160634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1.5961490259710365</v>
      </c>
      <c r="G1284" s="1">
        <f t="shared" si="1365"/>
        <v>1.9096784389423864</v>
      </c>
      <c r="H1284" s="1">
        <f t="shared" si="1365"/>
        <v>1.8882492611599306</v>
      </c>
      <c r="I1284" s="1">
        <f t="shared" si="1365"/>
        <v>1.8823881799874371</v>
      </c>
      <c r="J1284" s="1">
        <f t="shared" si="1365"/>
        <v>1.8933453737205077</v>
      </c>
      <c r="K1284" s="1">
        <f t="shared" si="1365"/>
        <v>1.8582062300605358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1.9705669680411977</v>
      </c>
      <c r="G1285" s="1">
        <f t="shared" si="1365"/>
        <v>2.4954055453200565</v>
      </c>
      <c r="H1285" s="1">
        <f t="shared" si="1365"/>
        <v>2.4926382637053894</v>
      </c>
      <c r="I1285" s="1">
        <f t="shared" si="1365"/>
        <v>2.5086391278115463</v>
      </c>
      <c r="J1285" s="1">
        <f t="shared" si="1365"/>
        <v>2.5490194042897238</v>
      </c>
      <c r="K1285" s="1">
        <f t="shared" si="1365"/>
        <v>0.89268642357756522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1.1454781241072594</v>
      </c>
      <c r="G1286" s="1">
        <f t="shared" si="1365"/>
        <v>1.3273590675383142</v>
      </c>
      <c r="H1286" s="1">
        <f t="shared" si="1365"/>
        <v>1.3423060951479053</v>
      </c>
      <c r="I1286" s="1">
        <f t="shared" si="1365"/>
        <v>1.3354951602061469</v>
      </c>
      <c r="J1286" s="1">
        <f t="shared" si="1365"/>
        <v>1.6080337321149192</v>
      </c>
      <c r="K1286" s="1">
        <f t="shared" si="1365"/>
        <v>0.75529408736367853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0.28603940550919521</v>
      </c>
      <c r="G1287" s="1">
        <f t="shared" si="1365"/>
        <v>0.29254854993039708</v>
      </c>
      <c r="H1287" s="1">
        <f t="shared" si="1365"/>
        <v>0.30231226656220056</v>
      </c>
      <c r="I1287" s="1">
        <f t="shared" si="1365"/>
        <v>0.3185851276152063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0.68283689987925955</v>
      </c>
      <c r="G1288" s="1">
        <f t="shared" si="1365"/>
        <v>0.67603373701084857</v>
      </c>
      <c r="H1288" s="1">
        <f t="shared" si="1365"/>
        <v>0.62079070364184097</v>
      </c>
      <c r="I1288" s="1">
        <f t="shared" si="1365"/>
        <v>0.62038793546024296</v>
      </c>
      <c r="J1288" s="1">
        <f t="shared" si="1365"/>
        <v>0.59936638395260944</v>
      </c>
      <c r="K1288" s="1">
        <f t="shared" si="1365"/>
        <v>0.59903958777966049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0.60712709071271909</v>
      </c>
      <c r="G1289" s="1">
        <f t="shared" si="1365"/>
        <v>0.60445885448783421</v>
      </c>
      <c r="H1289" s="1">
        <f t="shared" si="1365"/>
        <v>0.59460452127145047</v>
      </c>
      <c r="I1289" s="1">
        <f t="shared" si="1365"/>
        <v>0.5974480532130626</v>
      </c>
      <c r="J1289" s="1">
        <f t="shared" si="1365"/>
        <v>0.56535049296883444</v>
      </c>
      <c r="K1289" s="1">
        <f t="shared" si="1365"/>
        <v>0.55364805664578876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0.51686654136871646</v>
      </c>
      <c r="G1290" s="1">
        <f t="shared" si="1365"/>
        <v>0.51602722388351063</v>
      </c>
      <c r="H1290" s="1">
        <f t="shared" si="1365"/>
        <v>0.51560371899754998</v>
      </c>
      <c r="I1290" s="1">
        <f t="shared" si="1365"/>
        <v>0.51978461912955332</v>
      </c>
      <c r="J1290" s="1">
        <f t="shared" si="1365"/>
        <v>0.51746837349008679</v>
      </c>
      <c r="K1290" s="1">
        <f t="shared" si="1365"/>
        <v>0.48105492628170349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0.44024407404515048</v>
      </c>
      <c r="G1291" s="1">
        <f t="shared" si="1365"/>
        <v>0.43329788422437249</v>
      </c>
      <c r="H1291" s="1">
        <f t="shared" si="1365"/>
        <v>0.43387771770155681</v>
      </c>
      <c r="I1291" s="1">
        <f t="shared" si="1365"/>
        <v>0.43712436417142542</v>
      </c>
      <c r="J1291" s="1">
        <f t="shared" si="1365"/>
        <v>0.43407620309963818</v>
      </c>
      <c r="K1291" s="1">
        <f t="shared" si="1365"/>
        <v>0.43444940230255369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0.51837627625535199</v>
      </c>
      <c r="H1292" s="1">
        <f t="shared" si="1365"/>
        <v>0.54204393399745265</v>
      </c>
      <c r="I1292" s="1">
        <f t="shared" si="1365"/>
        <v>0.56937790519453402</v>
      </c>
      <c r="J1292" s="1">
        <f t="shared" si="1365"/>
        <v>0.58374654221492628</v>
      </c>
      <c r="K1292" s="1">
        <f t="shared" si="1365"/>
        <v>0.60233912285572322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0.41733711223535036</v>
      </c>
      <c r="H1293" s="1">
        <f t="shared" si="1365"/>
        <v>0.43898978322881743</v>
      </c>
      <c r="I1293" s="1">
        <f t="shared" si="1365"/>
        <v>0.46047498773194256</v>
      </c>
      <c r="J1293" s="1">
        <f t="shared" si="1365"/>
        <v>0.46705969697664124</v>
      </c>
      <c r="K1293" s="1">
        <f t="shared" si="1365"/>
        <v>0.48520426553408041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0.38796990995538666</v>
      </c>
      <c r="H1294" s="1">
        <f t="shared" si="1365"/>
        <v>0.40759509505151792</v>
      </c>
      <c r="I1294" s="1">
        <f t="shared" si="1365"/>
        <v>0.42524066297882207</v>
      </c>
      <c r="J1294" s="1">
        <f t="shared" si="1365"/>
        <v>0.4306966951061395</v>
      </c>
      <c r="K1294" s="1">
        <f t="shared" si="1365"/>
        <v>0.45002755797028726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0.3933245874771138</v>
      </c>
      <c r="H1295" s="1">
        <f t="shared" si="1365"/>
        <v>0.41324663067787515</v>
      </c>
      <c r="I1295" s="1">
        <f t="shared" si="1365"/>
        <v>0.43174232325554956</v>
      </c>
      <c r="J1295" s="1">
        <f t="shared" si="1365"/>
        <v>0.43828218833533672</v>
      </c>
      <c r="K1295" s="1">
        <f t="shared" si="1365"/>
        <v>0.45512898405784058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0.41824117647058789</v>
      </c>
      <c r="G1297" s="1">
        <f t="shared" si="1380"/>
        <v>1.6975898781412448</v>
      </c>
      <c r="H1297" s="1">
        <f t="shared" si="1380"/>
        <v>1.6957209539888349</v>
      </c>
      <c r="I1297" s="1">
        <f t="shared" si="1380"/>
        <v>1.6919771883868726</v>
      </c>
      <c r="J1297" s="1">
        <f t="shared" si="1380"/>
        <v>1.6960450555556519</v>
      </c>
      <c r="K1297" s="1">
        <f t="shared" si="1380"/>
        <v>0.96287199977522464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1.1728582782407539</v>
      </c>
      <c r="G1298" s="1">
        <f t="shared" si="1380"/>
        <v>2.6813685029233607</v>
      </c>
      <c r="H1298" s="1">
        <f t="shared" si="1380"/>
        <v>2.3210874440886364</v>
      </c>
      <c r="I1298" s="1">
        <f t="shared" si="1380"/>
        <v>2.3038428919862604</v>
      </c>
      <c r="J1298" s="1">
        <f t="shared" si="1380"/>
        <v>2.1836421882035122</v>
      </c>
      <c r="K1298" s="1">
        <f t="shared" si="1380"/>
        <v>1.9525157437119567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0.90048907841220049</v>
      </c>
      <c r="G1299" s="1">
        <f t="shared" si="1380"/>
        <v>1.1933128457560682</v>
      </c>
      <c r="H1299" s="1">
        <f t="shared" si="1380"/>
        <v>1.1892067321102009</v>
      </c>
      <c r="I1299" s="1">
        <f t="shared" si="1380"/>
        <v>1.2590353233194236</v>
      </c>
      <c r="J1299" s="1">
        <f t="shared" si="1380"/>
        <v>1.4791107348138188</v>
      </c>
      <c r="K1299" s="1">
        <f t="shared" si="1380"/>
        <v>0.80341955824632827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1.3458064140513839</v>
      </c>
      <c r="G1300" s="1">
        <f t="shared" si="1380"/>
        <v>1.5784515024000747</v>
      </c>
      <c r="H1300" s="1">
        <f t="shared" si="1380"/>
        <v>1.5857648890321214</v>
      </c>
      <c r="I1300" s="1">
        <f t="shared" si="1380"/>
        <v>1.6173678860332534</v>
      </c>
      <c r="J1300" s="1">
        <f t="shared" si="1380"/>
        <v>1.5876080821639329</v>
      </c>
      <c r="K1300" s="1">
        <f t="shared" si="1380"/>
        <v>0.77686930610069105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0.33901850024086039</v>
      </c>
      <c r="G1301" s="1">
        <f t="shared" si="1380"/>
        <v>0.35391427166601075</v>
      </c>
      <c r="H1301" s="1">
        <f t="shared" si="1380"/>
        <v>0.37625792880373699</v>
      </c>
      <c r="I1301" s="1">
        <f t="shared" si="1380"/>
        <v>0.41349735736661514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0.75011786272136149</v>
      </c>
      <c r="G1302" s="1">
        <f t="shared" si="1380"/>
        <v>0.77992546021577935</v>
      </c>
      <c r="H1302" s="1">
        <f t="shared" si="1380"/>
        <v>0.78584783424947646</v>
      </c>
      <c r="I1302" s="1">
        <f t="shared" si="1380"/>
        <v>0.79049175805765537</v>
      </c>
      <c r="J1302" s="1">
        <f t="shared" si="1380"/>
        <v>0.86795393111782815</v>
      </c>
      <c r="K1302" s="1">
        <f t="shared" si="1380"/>
        <v>0.66629634785454661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0.72198389360437043</v>
      </c>
      <c r="G1303" s="1">
        <f t="shared" si="1380"/>
        <v>0.70376338520918924</v>
      </c>
      <c r="H1303" s="1">
        <f t="shared" si="1380"/>
        <v>0.73488536561474549</v>
      </c>
      <c r="I1303" s="1">
        <f t="shared" si="1380"/>
        <v>0.76266154565986188</v>
      </c>
      <c r="J1303" s="1">
        <f t="shared" si="1380"/>
        <v>0.83147987403371371</v>
      </c>
      <c r="K1303" s="1">
        <f t="shared" si="1380"/>
        <v>0.54057179810428246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0.52855449813601341</v>
      </c>
      <c r="G1304" s="1">
        <f t="shared" si="1380"/>
        <v>0.53242274595860217</v>
      </c>
      <c r="H1304" s="1">
        <f t="shared" si="1380"/>
        <v>0.53195811907425794</v>
      </c>
      <c r="I1304" s="1">
        <f t="shared" si="1380"/>
        <v>0.54121666745334729</v>
      </c>
      <c r="J1304" s="1">
        <f t="shared" si="1380"/>
        <v>0.59145773305615701</v>
      </c>
      <c r="K1304" s="1">
        <f t="shared" si="1380"/>
        <v>0.47796737863675381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0.46614199683165902</v>
      </c>
      <c r="G1305" s="1">
        <f t="shared" si="1380"/>
        <v>0.45574507410176646</v>
      </c>
      <c r="H1305" s="1">
        <f t="shared" si="1380"/>
        <v>0.45701560157572341</v>
      </c>
      <c r="I1305" s="1">
        <f t="shared" si="1380"/>
        <v>0.46327132073715721</v>
      </c>
      <c r="J1305" s="1">
        <f t="shared" si="1380"/>
        <v>0.39051827084387009</v>
      </c>
      <c r="K1305" s="1">
        <f t="shared" si="1380"/>
        <v>0.42578769378546716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0.56203544748554668</v>
      </c>
      <c r="H1306" s="1">
        <f t="shared" si="1380"/>
        <v>0.58215999554169651</v>
      </c>
      <c r="I1306" s="1">
        <f t="shared" si="1380"/>
        <v>0.60659339845572013</v>
      </c>
      <c r="J1306" s="1">
        <f t="shared" si="1380"/>
        <v>0.619275185556587</v>
      </c>
      <c r="K1306" s="1">
        <f t="shared" si="1380"/>
        <v>0.63737017513823691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0.45210145766281434</v>
      </c>
      <c r="H1307" s="1">
        <f t="shared" si="1380"/>
        <v>0.4708461478738738</v>
      </c>
      <c r="I1307" s="1">
        <f t="shared" si="1380"/>
        <v>0.49045121286478671</v>
      </c>
      <c r="J1307" s="1">
        <f t="shared" si="1380"/>
        <v>0.49737871669111927</v>
      </c>
      <c r="K1307" s="1">
        <f t="shared" si="1380"/>
        <v>0.51482260714897699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0.42028149632876921</v>
      </c>
      <c r="H1308" s="1">
        <f t="shared" si="1380"/>
        <v>0.43713609968331651</v>
      </c>
      <c r="I1308" s="1">
        <f t="shared" si="1380"/>
        <v>0.45362983662276068</v>
      </c>
      <c r="J1308" s="1">
        <f t="shared" si="1380"/>
        <v>0.4596664263195171</v>
      </c>
      <c r="K1308" s="1">
        <f t="shared" si="1380"/>
        <v>0.47817391703502715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0.39943403925494803</v>
      </c>
      <c r="H1309" s="1">
        <f t="shared" si="1380"/>
        <v>0.41417961549375654</v>
      </c>
      <c r="I1309" s="1">
        <f t="shared" si="1380"/>
        <v>0.43062043870146399</v>
      </c>
      <c r="J1309" s="1">
        <f t="shared" si="1380"/>
        <v>0.43765922427884663</v>
      </c>
      <c r="K1309" s="1">
        <f t="shared" si="1380"/>
        <v>0.45441061536455257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>
        <f t="shared" ref="L1310" si="1396">IFERROR(L1259/L1199,"-")</f>
        <v>0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0.61529742822711597</v>
      </c>
      <c r="G1311" s="1">
        <f t="shared" si="1395"/>
        <v>1.5234350298470232</v>
      </c>
      <c r="H1311" s="1">
        <f t="shared" si="1395"/>
        <v>0.43626340606253966</v>
      </c>
      <c r="I1311" s="1">
        <f t="shared" si="1395"/>
        <v>4.0623120286148867E-3</v>
      </c>
      <c r="J1311" s="1">
        <f t="shared" si="1395"/>
        <v>2.3935876800910135E-2</v>
      </c>
      <c r="K1311" s="1">
        <f t="shared" si="1395"/>
        <v>1.2909942960610066E-2</v>
      </c>
      <c r="L1311" s="1">
        <f t="shared" ref="L1311" si="1397">IFERROR(L1260/L1200,"-")</f>
        <v>0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0.63140914055921327</v>
      </c>
      <c r="G1312" s="1">
        <f t="shared" si="1395"/>
        <v>6.9842712022050252E-2</v>
      </c>
      <c r="H1312" s="1">
        <f t="shared" si="1395"/>
        <v>2.5265528070287577E-2</v>
      </c>
      <c r="I1312" s="1">
        <f t="shared" si="1395"/>
        <v>8.8653218389273354E-6</v>
      </c>
      <c r="J1312" s="1">
        <f t="shared" si="1395"/>
        <v>1.2594992968796554E-4</v>
      </c>
      <c r="K1312" s="1">
        <f t="shared" si="1395"/>
        <v>4.2127511204813234E-6</v>
      </c>
      <c r="L1312" s="1">
        <f t="shared" ref="L1312" si="1398">IFERROR(L1261/L1201,"-")</f>
        <v>0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0.46784912316121247</v>
      </c>
      <c r="G1313" s="1">
        <f t="shared" si="1395"/>
        <v>0.10927503985603369</v>
      </c>
      <c r="H1313" s="1">
        <f t="shared" si="1395"/>
        <v>0.10014416289522821</v>
      </c>
      <c r="I1313" s="1">
        <f t="shared" si="1395"/>
        <v>2.0749701640634987E-3</v>
      </c>
      <c r="J1313" s="1">
        <f t="shared" si="1395"/>
        <v>1.1688031068086861E-2</v>
      </c>
      <c r="K1313" s="1">
        <f t="shared" si="1395"/>
        <v>6.0433023946115591E-3</v>
      </c>
      <c r="L1313" s="1">
        <f t="shared" ref="L1313" si="1399">IFERROR(L1262/L1202,"-")</f>
        <v>0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0.68268776373836448</v>
      </c>
      <c r="G1314" s="1">
        <f t="shared" si="1395"/>
        <v>0.29197425935069676</v>
      </c>
      <c r="H1314" s="1">
        <f t="shared" si="1395"/>
        <v>0.27279562373014665</v>
      </c>
      <c r="I1314" s="1">
        <f t="shared" si="1395"/>
        <v>3.5265180674076919E-2</v>
      </c>
      <c r="J1314" s="1">
        <f t="shared" si="1395"/>
        <v>0.38942726615127748</v>
      </c>
      <c r="K1314" s="1">
        <f t="shared" si="1395"/>
        <v>0.35767113285647473</v>
      </c>
      <c r="L1314" s="1" t="str">
        <f t="shared" ref="L1314" si="1400">IFERROR(L1263/L1203,"-")</f>
        <v>-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403">G1316+G1322+G1327+G1341</f>
        <v>1.2351504347560114</v>
      </c>
      <c r="H1315" s="3">
        <f t="shared" si="1403"/>
        <v>2.238851290611982</v>
      </c>
      <c r="I1315" s="3">
        <f t="shared" si="1403"/>
        <v>1.1897446007896879</v>
      </c>
      <c r="J1315" s="3">
        <f t="shared" si="1403"/>
        <v>2.2088347487165851</v>
      </c>
      <c r="K1315" s="3">
        <f t="shared" si="1403"/>
        <v>1.496414632790467</v>
      </c>
      <c r="L1315" s="3">
        <f t="shared" ref="L1315" si="1404">L1316+L1322+L1327+L1341</f>
        <v>1.3367388223121344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405">SUM(G1317:G1321)</f>
        <v>5.2247654996527275E-2</v>
      </c>
      <c r="H1316" s="1">
        <f t="shared" si="1405"/>
        <v>5.91002580499293E-2</v>
      </c>
      <c r="I1316" s="1">
        <f t="shared" si="1405"/>
        <v>1.1897015656974932</v>
      </c>
      <c r="J1316" s="1">
        <f t="shared" si="1405"/>
        <v>0.82808719194450264</v>
      </c>
      <c r="K1316" s="1">
        <f t="shared" si="1405"/>
        <v>1.1701573678795709</v>
      </c>
      <c r="L1316" s="1">
        <f t="shared" ref="L1316" si="1406">SUM(L1317:L1321)</f>
        <v>1.211103919573369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0.23881581797134657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0.16564511341680183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0.22545990794866158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0.11703526500421978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0.1351684259967359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0.13210651634684792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0.47223075030991951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0.8693438284660332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0.8535374952778596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5.3586590168183605E-6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0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0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3.9755071324195189E-7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411">SUM(G1332:G1340)</f>
        <v>1.1814065021744526</v>
      </c>
      <c r="H1327" s="1">
        <f t="shared" si="1411"/>
        <v>2.1501782686417217</v>
      </c>
      <c r="I1327" s="1">
        <f t="shared" si="1411"/>
        <v>4.2637541481464103E-5</v>
      </c>
      <c r="J1327" s="1">
        <f t="shared" si="1411"/>
        <v>1.3697343341288097</v>
      </c>
      <c r="K1327" s="1">
        <f t="shared" si="1411"/>
        <v>0.31416224720995056</v>
      </c>
      <c r="L1327" s="1">
        <f t="shared" ref="L1327" si="1412">SUM(L1332:L1340)</f>
        <v>0.12485085692069589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13">IF(G1327-G1329&lt;0,0,G1327-G1329)</f>
        <v>1.1506139601969143</v>
      </c>
      <c r="H1328" s="1">
        <f t="shared" si="1413"/>
        <v>2.0536934695349824</v>
      </c>
      <c r="I1328" s="1">
        <f t="shared" si="1413"/>
        <v>4.0726904136938226E-5</v>
      </c>
      <c r="J1328" s="1">
        <f t="shared" si="1413"/>
        <v>1.2736113967804978</v>
      </c>
      <c r="K1328" s="1">
        <f t="shared" si="1413"/>
        <v>0.27501687191078994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14">SUM(G1330:G1331)</f>
        <v>3.0792541977538317E-2</v>
      </c>
      <c r="H1329" s="1">
        <f t="shared" ref="H1329" si="1415">SUM(H1330:H1331)</f>
        <v>9.6484799106739405E-2</v>
      </c>
      <c r="I1329" s="1">
        <f t="shared" ref="I1329" si="1416">SUM(I1330:I1331)</f>
        <v>1.9106373445258757E-6</v>
      </c>
      <c r="J1329" s="1">
        <f t="shared" ref="J1329" si="1417">SUM(J1330:J1331)</f>
        <v>9.6122937348311885E-2</v>
      </c>
      <c r="K1329" s="1">
        <f t="shared" ref="K1329:L1329" si="1418">SUM(K1330:K1331)</f>
        <v>3.9145375299160651E-2</v>
      </c>
      <c r="L1329" s="1">
        <f t="shared" si="1418"/>
        <v>0.13514125946255329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9.6122937348311885E-2</v>
      </c>
      <c r="K1330" s="1">
        <f>[2]Transport!G$26/SUM([2]Transport!G$22,[2]Transport!G$26)*K1327*(K$34+K$582)/(K$34+K$582+K$38)</f>
        <v>3.9144498765607119E-2</v>
      </c>
      <c r="L1330" s="1">
        <f>[2]Transport!H$26/SUM([2]Transport!H$22,[2]Transport!H$26)*L1327*(L$34+L$582)/(L$34+L$582+L$38)</f>
        <v>0.10499959243588552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8.7653355353175463E-7</v>
      </c>
      <c r="L1331" s="1">
        <f>(L$38+L$718)/([2]Transport!H$22+[2]Transport!H$26)*L1327</f>
        <v>3.0141667026667748E-2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0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0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0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6.9825530465032259E-2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0.31148522046398908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0.12407505585509718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4.261074209556065E-2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5.3157322353282683E-4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1.2123686371135488E-4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1.2572962543005881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2.1445565711952488E-3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6.5456420188736626E-4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1.807267628681179E-6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8.9695123342568305E-7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19">SUM(G1346:G1350)</f>
        <v>1.4962775850315059E-3</v>
      </c>
      <c r="H1341" s="1">
        <f t="shared" si="1419"/>
        <v>2.9572763920331088E-2</v>
      </c>
      <c r="I1341" s="1">
        <f t="shared" si="1419"/>
        <v>0</v>
      </c>
      <c r="J1341" s="1">
        <f t="shared" si="1419"/>
        <v>1.1013222643272952E-2</v>
      </c>
      <c r="K1341" s="1">
        <f t="shared" si="1419"/>
        <v>1.2095017700945593E-2</v>
      </c>
      <c r="L1341" s="1">
        <f t="shared" ref="L1341" si="1420">SUM(L1346:L1350)</f>
        <v>7.8404581806955625E-4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21">IF(G1341-G1343&lt;0,0,G1341-G1343)</f>
        <v>1.3530483891869872E-3</v>
      </c>
      <c r="H1342" s="1">
        <f t="shared" si="1421"/>
        <v>2.9273180960851568E-2</v>
      </c>
      <c r="I1342" s="1">
        <f t="shared" si="1421"/>
        <v>0</v>
      </c>
      <c r="J1342" s="1">
        <f t="shared" si="1421"/>
        <v>0</v>
      </c>
      <c r="K1342" s="1">
        <f t="shared" si="1421"/>
        <v>0</v>
      </c>
      <c r="L1342" s="1">
        <f t="shared" si="1421"/>
        <v>7.3523631940426032E-4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22">SUM(G1344:G1345)</f>
        <v>1.4322919584451867E-4</v>
      </c>
      <c r="H1343" s="1">
        <f t="shared" ref="H1343" si="1423">SUM(H1344:H1345)</f>
        <v>2.9958295947952145E-4</v>
      </c>
      <c r="I1343" s="1">
        <f t="shared" ref="I1343" si="1424">SUM(I1344:I1345)</f>
        <v>0</v>
      </c>
      <c r="J1343" s="1">
        <f t="shared" ref="J1343" si="1425">SUM(J1344:J1345)</f>
        <v>2.2408562002676977E-2</v>
      </c>
      <c r="K1343" s="1">
        <f t="shared" ref="K1343:L1343" si="1426">SUM(K1344:K1345)</f>
        <v>0.22603458052925049</v>
      </c>
      <c r="L1343" s="1">
        <f t="shared" si="1426"/>
        <v>4.8809498665295972E-5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4.0542076003374051E-6</v>
      </c>
      <c r="K1344" s="1">
        <f>[2]Transport!G$27/SUM([2]Transport!G$24,[2]Transport!G$27)*K1341*(K$47+K$614)/(K$47+K$614+K$49)</f>
        <v>1.7413934722454616E-3</v>
      </c>
      <c r="L1344" s="1">
        <f>[2]Transport!H$27/SUM([2]Transport!H$24,[2]Transport!H$27)*L1341*(L$47+L$614)/(L$47+L$614+L$49)</f>
        <v>3.5966092597293989E-6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2.2404507795076641E-2</v>
      </c>
      <c r="K1345" s="1">
        <f>(K$49+K$716)/([2]Transport!G$24+[2]Transport!G$27)*K1341</f>
        <v>0.22429318705700502</v>
      </c>
      <c r="L1345" s="1">
        <f>(L$49+L$716)/([2]Transport!H$24+[2]Transport!H$27)*L1341</f>
        <v>4.5212889405566577E-5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9.8252511062149692E-4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1.2625232461214894E-4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3.2918645411563724E-5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2.2333561385767036E-4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2.0008892731548637E-4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5.2559668451972779E-5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9.8053457409240218E-3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1.1767737630491376E-2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6.9856750420601969E-4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2.0161778697630288E-6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9.3881852657996397E-7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27">SUM(G1352:G1374)</f>
        <v>0.30115612280855802</v>
      </c>
      <c r="H1351" s="3">
        <f t="shared" si="1427"/>
        <v>0.3090821312877528</v>
      </c>
      <c r="I1351" s="3">
        <f t="shared" si="1427"/>
        <v>0.32279375132205251</v>
      </c>
      <c r="J1351" s="3">
        <f t="shared" si="1427"/>
        <v>0.36108418788067798</v>
      </c>
      <c r="K1351" s="3">
        <f t="shared" si="1427"/>
        <v>0.37882666251605757</v>
      </c>
      <c r="L1351" s="3">
        <f t="shared" ref="L1351" si="1428">SUM(L1352:L1374)</f>
        <v>0.41115176917224644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0.11250328757057407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7.8216853549616341E-2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0.11973933313307654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3.9948817854076286E-2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4.645279591878107E-2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5.0481991852649719E-2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0.10745382573185532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0.20239611243702799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0.22061116884852996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8.1471073462714E-7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0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0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0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0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1.0252107224226047E-2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5.0700544286969802E-2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2.0196239239956181E-2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4.3812883237982743E-3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5.7675011893622933E-5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1.3691964128905879E-5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8.5717438060705323E-2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1.6042403322418306E-4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4.9203942784134218E-5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8.6605122586647389E-8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4.5095261245342903E-8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1.4226445855510482E-4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1.8887856153035525E-5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5.000481147643209E-6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2.1610044542705775E-5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2.0858777495656807E-5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5.5707123920047323E-6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6.6255608407649058E-4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8.0242095653155674E-4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4.9568997581374614E-5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9.1212411202806904E-8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4.45931030374568E-8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34">IFERROR(G1352/G1317,"-")</f>
        <v>3.3737507326839378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0.37869321701871783</v>
      </c>
      <c r="G1377" s="1">
        <f t="shared" si="1436"/>
        <v>0.39242428682035974</v>
      </c>
      <c r="H1377" s="1">
        <f t="shared" si="1436"/>
        <v>0.39346035967577858</v>
      </c>
      <c r="I1377" s="1">
        <f t="shared" si="1436"/>
        <v>0.44726731421791632</v>
      </c>
      <c r="J1377" s="1">
        <f t="shared" si="1436"/>
        <v>0.47108809008653002</v>
      </c>
      <c r="K1377" s="1">
        <f t="shared" si="1436"/>
        <v>0.4721953575099101</v>
      </c>
      <c r="L1377" s="1">
        <f t="shared" ref="L1377" si="1437">IFERROR(L1353/L1318,"-")</f>
        <v>0.53108924873836916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0.27518070496490676</v>
      </c>
      <c r="G1378" s="1">
        <f t="shared" si="1438"/>
        <v>0.27935840978082233</v>
      </c>
      <c r="H1378" s="1">
        <f t="shared" si="1438"/>
        <v>0.28748398189972446</v>
      </c>
      <c r="I1378" s="1">
        <f t="shared" si="1438"/>
        <v>0.32362901013830353</v>
      </c>
      <c r="J1378" s="1">
        <f t="shared" si="1438"/>
        <v>0.34134000425116229</v>
      </c>
      <c r="K1378" s="1">
        <f t="shared" si="1438"/>
        <v>0.34366602685676634</v>
      </c>
      <c r="L1378" s="1">
        <f t="shared" ref="L1378" si="1439">IFERROR(L1354/L1319,"-")</f>
        <v>0.3821309746758319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0.18297040713439891</v>
      </c>
      <c r="G1379" s="1">
        <f t="shared" si="1440"/>
        <v>0.18410376800338413</v>
      </c>
      <c r="H1379" s="1">
        <f t="shared" si="1440"/>
        <v>0.18668402470599649</v>
      </c>
      <c r="I1379" s="1">
        <f t="shared" si="1440"/>
        <v>0.21581379653528857</v>
      </c>
      <c r="J1379" s="1">
        <f t="shared" si="1440"/>
        <v>0.22754516867301552</v>
      </c>
      <c r="K1379" s="1">
        <f t="shared" si="1440"/>
        <v>0.23281480331453916</v>
      </c>
      <c r="L1379" s="1">
        <f t="shared" ref="L1379" si="1441">IFERROR(L1355/L1320,"-")</f>
        <v>0.25846687470561847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0.12198710645807115</v>
      </c>
      <c r="G1380" s="1">
        <f t="shared" si="1442"/>
        <v>0.12398329936238002</v>
      </c>
      <c r="H1380" s="1">
        <f t="shared" si="1442"/>
        <v>0.12739584226793446</v>
      </c>
      <c r="I1380" s="1">
        <f t="shared" si="1442"/>
        <v>0.14412216480923568</v>
      </c>
      <c r="J1380" s="1">
        <f t="shared" si="1442"/>
        <v>0.15203630835067852</v>
      </c>
      <c r="K1380" s="1" t="str">
        <f t="shared" si="1442"/>
        <v>-</v>
      </c>
      <c r="L1380" s="1" t="str">
        <f t="shared" ref="L1380" si="1443">IFERROR(L1356/L1321,"-")</f>
        <v>-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>
        <f t="shared" si="1444"/>
        <v>0.23440176174444077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0.16251369968883839</v>
      </c>
      <c r="H1385" s="1">
        <f t="shared" si="1452"/>
        <v>0.16256266707551151</v>
      </c>
      <c r="I1385" s="1" t="str">
        <f t="shared" si="1452"/>
        <v>-</v>
      </c>
      <c r="J1385" s="1" t="str">
        <f t="shared" si="1452"/>
        <v>-</v>
      </c>
      <c r="K1385" s="1" t="str">
        <f t="shared" si="1452"/>
        <v>-</v>
      </c>
      <c r="L1385" s="1" t="str">
        <f t="shared" ref="L1385" si="1453">IFERROR(L1361/L1332,"-")</f>
        <v>-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0.11649393435744146</v>
      </c>
      <c r="H1386" s="1">
        <f t="shared" si="1454"/>
        <v>0.11843086478236804</v>
      </c>
      <c r="I1386" s="1" t="str">
        <f t="shared" si="1454"/>
        <v>-</v>
      </c>
      <c r="J1386" s="1" t="str">
        <f t="shared" si="1454"/>
        <v>-</v>
      </c>
      <c r="K1386" s="1" t="str">
        <f t="shared" si="1454"/>
        <v>-</v>
      </c>
      <c r="L1386" s="1" t="str">
        <f t="shared" ref="L1386" si="1455">IFERROR(L1362/L1333,"-")</f>
        <v>-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7.8235828164578816E-2</v>
      </c>
      <c r="H1387" s="1">
        <f t="shared" si="1456"/>
        <v>7.9191224430262483E-2</v>
      </c>
      <c r="I1387" s="1" t="str">
        <f t="shared" si="1456"/>
        <v>-</v>
      </c>
      <c r="J1387" s="1" t="str">
        <f t="shared" si="1456"/>
        <v>-</v>
      </c>
      <c r="K1387" s="1" t="str">
        <f t="shared" si="1456"/>
        <v>-</v>
      </c>
      <c r="L1387" s="1" t="str">
        <f t="shared" ref="L1387" si="1457">IFERROR(L1363/L1334,"-")</f>
        <v>-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5.2751439830497703E-2</v>
      </c>
      <c r="H1388" s="1">
        <f t="shared" si="1458"/>
        <v>5.3934173675754309E-2</v>
      </c>
      <c r="I1388" s="1" t="str">
        <f t="shared" si="1458"/>
        <v>-</v>
      </c>
      <c r="J1388" s="1" t="str">
        <f t="shared" si="1458"/>
        <v>-</v>
      </c>
      <c r="K1388" s="1" t="str">
        <f t="shared" si="1458"/>
        <v>-</v>
      </c>
      <c r="L1388" s="1" t="str">
        <f t="shared" ref="L1388" si="1459">IFERROR(L1364/L1335,"-")</f>
        <v>-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60">IFERROR(G1365/G1336,"-")</f>
        <v>11.189596541502658</v>
      </c>
      <c r="H1389" s="1">
        <f t="shared" si="1460"/>
        <v>7.020970281426429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0.12839429160356777</v>
      </c>
      <c r="H1390" s="1">
        <f t="shared" si="1462"/>
        <v>0.13505471585635892</v>
      </c>
      <c r="I1390" s="1">
        <f t="shared" si="1462"/>
        <v>0.12391916748597491</v>
      </c>
      <c r="J1390" s="1">
        <f t="shared" si="1462"/>
        <v>0.1468246235431061</v>
      </c>
      <c r="K1390" s="1">
        <f t="shared" si="1462"/>
        <v>0.16277030483644186</v>
      </c>
      <c r="L1390" s="1">
        <f t="shared" ref="L1390" si="1463">IFERROR(L1366/L1337,"-")</f>
        <v>0.16277437153478011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8.7465847585616638E-2</v>
      </c>
      <c r="G1391" s="1">
        <f t="shared" si="1464"/>
        <v>8.7741028393343704E-2</v>
      </c>
      <c r="H1391" s="1">
        <f t="shared" si="1464"/>
        <v>9.0879681332469722E-2</v>
      </c>
      <c r="I1391" s="1" t="str">
        <f t="shared" si="1464"/>
        <v>-</v>
      </c>
      <c r="J1391" s="1">
        <f t="shared" si="1464"/>
        <v>0.10282121616123494</v>
      </c>
      <c r="K1391" s="1">
        <f t="shared" si="1464"/>
        <v>0.10849871539863457</v>
      </c>
      <c r="L1391" s="1">
        <f t="shared" ref="L1391" si="1465">IFERROR(L1367/L1338,"-")</f>
        <v>0.11293565100384156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5.7949527986548524E-2</v>
      </c>
      <c r="G1392" s="1">
        <f t="shared" si="1466"/>
        <v>5.816262883544538E-2</v>
      </c>
      <c r="H1392" s="1">
        <f t="shared" si="1466"/>
        <v>6.0251766553410475E-2</v>
      </c>
      <c r="I1392" s="1" t="str">
        <f t="shared" si="1466"/>
        <v>-</v>
      </c>
      <c r="J1392" s="1">
        <f t="shared" si="1466"/>
        <v>6.8176006861953492E-2</v>
      </c>
      <c r="K1392" s="1">
        <f t="shared" si="1466"/>
        <v>7.4805223316991909E-2</v>
      </c>
      <c r="L1392" s="1">
        <f t="shared" ref="L1392" si="1467">IFERROR(L1368/L1339,"-")</f>
        <v>7.517053734723024E-2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3.8646481387947428E-2</v>
      </c>
      <c r="G1393" s="1">
        <f t="shared" si="1468"/>
        <v>3.8907657093172177E-2</v>
      </c>
      <c r="H1393" s="1">
        <f t="shared" si="1468"/>
        <v>3.9244779603342966E-2</v>
      </c>
      <c r="I1393" s="1" t="str">
        <f t="shared" si="1468"/>
        <v>-</v>
      </c>
      <c r="J1393" s="1">
        <f t="shared" si="1468"/>
        <v>4.7920474650368146E-2</v>
      </c>
      <c r="K1393" s="1">
        <f t="shared" si="1468"/>
        <v>5.0276157236679102E-2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70">IFERROR(G1370/G1346,"-")</f>
        <v>11.186996076539067</v>
      </c>
      <c r="H1394" s="1">
        <f t="shared" si="1470"/>
        <v>7.0144691190174733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0.12023751974847215</v>
      </c>
      <c r="H1395" s="1">
        <f t="shared" si="1472"/>
        <v>0.12276645409379064</v>
      </c>
      <c r="I1395" s="1" t="str">
        <f t="shared" si="1472"/>
        <v>-</v>
      </c>
      <c r="J1395" s="1">
        <f t="shared" si="1472"/>
        <v>0.14479473045234981</v>
      </c>
      <c r="K1395" s="1">
        <f t="shared" si="1472"/>
        <v>0.14960402678572141</v>
      </c>
      <c r="L1395" s="1">
        <f t="shared" ref="L1395" si="1473">IFERROR(L1371/L1347,"-")</f>
        <v>0.15190421978562429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8.4998076233608846E-2</v>
      </c>
      <c r="H1396" s="1">
        <f t="shared" si="1474"/>
        <v>8.7855633737424998E-2</v>
      </c>
      <c r="I1396" s="1" t="str">
        <f t="shared" si="1474"/>
        <v>-</v>
      </c>
      <c r="J1396" s="1">
        <f t="shared" si="1474"/>
        <v>9.6760405424983625E-2</v>
      </c>
      <c r="K1396" s="1">
        <f t="shared" si="1474"/>
        <v>0.1042475352110221</v>
      </c>
      <c r="L1396" s="1">
        <f t="shared" ref="L1396" si="1475">IFERROR(L1372/L1348,"-")</f>
        <v>0.10598834726469133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5.6422133461237166E-2</v>
      </c>
      <c r="H1397" s="1">
        <f t="shared" si="1476"/>
        <v>5.9308621683801348E-2</v>
      </c>
      <c r="I1397" s="1" t="str">
        <f t="shared" si="1476"/>
        <v>-</v>
      </c>
      <c r="J1397" s="1">
        <f t="shared" si="1476"/>
        <v>6.7570904849506466E-2</v>
      </c>
      <c r="K1397" s="1">
        <f t="shared" si="1476"/>
        <v>6.8188209299670691E-2</v>
      </c>
      <c r="L1397" s="1">
        <f t="shared" ref="L1397" si="1477">IFERROR(L1373/L1349,"-")</f>
        <v>7.0958063870597471E-2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3.7689157759834377E-2</v>
      </c>
      <c r="H1398" s="1">
        <f t="shared" si="1478"/>
        <v>3.8892664314784609E-2</v>
      </c>
      <c r="I1398" s="1" t="str">
        <f t="shared" si="1478"/>
        <v>-</v>
      </c>
      <c r="J1398" s="1">
        <f t="shared" si="1478"/>
        <v>4.5240260083564722E-2</v>
      </c>
      <c r="K1398" s="1">
        <f t="shared" si="1478"/>
        <v>4.7499172390542486E-2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80">G1400+G1406+G1411+G1425</f>
        <v>0.82866899958268303</v>
      </c>
      <c r="H1399" s="3">
        <f t="shared" ref="H1399" si="1481">H1400+H1406+H1411+H1425</f>
        <v>1.0202559439373862</v>
      </c>
      <c r="I1399" s="3">
        <f t="shared" ref="I1399" si="1482">I1400+I1406+I1411+I1425</f>
        <v>0.37862700407373517</v>
      </c>
      <c r="J1399" s="3">
        <f t="shared" ref="J1399" si="1483">J1400+J1406+J1411+J1425</f>
        <v>0.62634289952766264</v>
      </c>
      <c r="K1399" s="3">
        <f t="shared" ref="K1399:L1399" si="1484">K1400+K1406+K1411+K1425</f>
        <v>0.46913581565303936</v>
      </c>
      <c r="L1399" s="3">
        <f t="shared" si="1484"/>
        <v>0.33259398666141377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85">SUM(G1401:G1405)</f>
        <v>1.0020459960967829E-2</v>
      </c>
      <c r="H1400" s="1">
        <f t="shared" ref="H1400" si="1486">SUM(H1401:H1405)</f>
        <v>1.1382598793153039E-2</v>
      </c>
      <c r="I1400" s="1">
        <f t="shared" ref="I1400" si="1487">SUM(I1401:I1405)</f>
        <v>0.37862528604404544</v>
      </c>
      <c r="J1400" s="1">
        <f t="shared" ref="J1400" si="1488">SUM(J1401:J1405)</f>
        <v>0.2448870476721727</v>
      </c>
      <c r="K1400" s="1">
        <f t="shared" ref="K1400:L1400" si="1489">SUM(K1401:K1405)</f>
        <v>0.30507702214169019</v>
      </c>
      <c r="L1400" s="1">
        <f t="shared" si="1489"/>
        <v>0.30475921402863315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0.13713203103321744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0.13680785273915369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0.11926899591901199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9.1398225292050606E-2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0.15155400282462722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0.14729576244988388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1.6350033948938122E-2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1.6706868707465974E-2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3.8193591391449198E-2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6.7573979665569186E-6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8.2978704433156911E-6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8.6426828811633424E-7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97">SUM(G1416:G1424)</f>
        <v>0.81760793224851358</v>
      </c>
      <c r="H1411" s="1">
        <f t="shared" si="1497"/>
        <v>1.0067307692866114</v>
      </c>
      <c r="I1411" s="1">
        <f t="shared" si="1497"/>
        <v>1.7180296897570299E-6</v>
      </c>
      <c r="J1411" s="1">
        <f t="shared" si="1497"/>
        <v>0.3771658156627557</v>
      </c>
      <c r="K1411" s="1">
        <f t="shared" si="1497"/>
        <v>0.15971758501382791</v>
      </c>
      <c r="L1411" s="1">
        <f t="shared" ref="L1411" si="1498">SUM(L1416:L1424)</f>
        <v>2.7633214255687748E-2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99">IF(G1411-G1413&lt;0,0,G1411-G1413)</f>
        <v>0.79629754794929719</v>
      </c>
      <c r="H1412" s="1">
        <f t="shared" si="1499"/>
        <v>0.96155580986775724</v>
      </c>
      <c r="I1412" s="1">
        <f t="shared" si="1499"/>
        <v>1.6410428004993317E-6</v>
      </c>
      <c r="J1412" s="1">
        <f t="shared" si="1499"/>
        <v>0.35069770052133686</v>
      </c>
      <c r="K1412" s="1">
        <f t="shared" si="1499"/>
        <v>0.1398163879006572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500">SUM(G1414:G1415)</f>
        <v>2.1310384299216428E-2</v>
      </c>
      <c r="H1413" s="1">
        <f t="shared" ref="H1413" si="1501">SUM(H1414:H1415)</f>
        <v>4.5174959418854181E-2</v>
      </c>
      <c r="I1413" s="1">
        <f t="shared" ref="I1413" si="1502">SUM(I1414:I1415)</f>
        <v>7.6986889257698095E-8</v>
      </c>
      <c r="J1413" s="1">
        <f t="shared" ref="J1413" si="1503">SUM(J1414:J1415)</f>
        <v>2.6468115141418849E-2</v>
      </c>
      <c r="K1413" s="1">
        <f t="shared" ref="K1413:L1413" si="1504">SUM(K1414:K1415)</f>
        <v>1.9901197113170704E-2</v>
      </c>
      <c r="L1413" s="1">
        <f t="shared" si="1504"/>
        <v>2.9910786915017112E-2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2.6468115141418849E-2</v>
      </c>
      <c r="K1414" s="1">
        <f>[2]Transport!G$26/SUM([2]Transport!G$22,[2]Transport!G$26)*K1411*(K$34+K$582)/(K$34+K$582+K$38)</f>
        <v>1.990075149049135E-2</v>
      </c>
      <c r="L1414" s="1">
        <f>[2]Transport!H$26/SUM([2]Transport!H$22,[2]Transport!H$26)*L1411*(L$34+L$582)/(L$34+L$582+L$38)</f>
        <v>2.3239538006404766E-2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4.4562267935434641E-7</v>
      </c>
      <c r="L1415" s="1">
        <f>(L$38+L$718)/([2]Transport!H$22+[2]Transport!H$26)*L1411</f>
        <v>6.6712489086123462E-3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0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0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0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1.4144371738805761E-3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2.5101516857919635E-3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1.0939245420800861E-3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0.2554647706571162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4.6110333687747057E-2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4.2601361215298422E-4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0.12028480077304131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0.11109527397828918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2.6113276101454679E-2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1.8070587176170619E-6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1.8256619997115209E-6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505">SUM(G1430:G1434)</f>
        <v>1.0406073732016493E-3</v>
      </c>
      <c r="H1425" s="1">
        <f t="shared" ref="H1425" si="1506">SUM(H1430:H1434)</f>
        <v>2.1425758576217348E-3</v>
      </c>
      <c r="I1425" s="1">
        <f t="shared" ref="I1425" si="1507">SUM(I1430:I1434)</f>
        <v>0</v>
      </c>
      <c r="J1425" s="1">
        <f t="shared" ref="J1425" si="1508">SUM(J1430:J1434)</f>
        <v>4.2900361927342761E-3</v>
      </c>
      <c r="K1425" s="1">
        <f t="shared" ref="K1425:L1425" si="1509">SUM(K1430:K1434)</f>
        <v>4.3412084975212092E-3</v>
      </c>
      <c r="L1425" s="1">
        <f t="shared" si="1509"/>
        <v>2.0155837709282242E-4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510">IF(G1425-G1427&lt;0,0,G1425-G1427)</f>
        <v>9.409966066269359E-4</v>
      </c>
      <c r="H1426" s="1">
        <f t="shared" si="1510"/>
        <v>2.1208707772963071E-3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1.8901068777293808E-4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511">SUM(G1428:G1429)</f>
        <v>9.9610766574713365E-5</v>
      </c>
      <c r="H1427" s="1">
        <f t="shared" ref="H1427" si="1512">SUM(H1428:H1429)</f>
        <v>2.1705080325427587E-5</v>
      </c>
      <c r="I1427" s="1">
        <f t="shared" ref="I1427" si="1513">SUM(I1428:I1429)</f>
        <v>0</v>
      </c>
      <c r="J1427" s="1">
        <f t="shared" ref="J1427" si="1514">SUM(J1428:J1429)</f>
        <v>8.7289202381951453E-3</v>
      </c>
      <c r="K1427" s="1">
        <f t="shared" ref="K1427:L1427" si="1515">SUM(K1428:K1429)</f>
        <v>8.1129541600464858E-2</v>
      </c>
      <c r="L1427" s="1">
        <f t="shared" si="1515"/>
        <v>1.2547689319884325E-5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1.5792559454820043E-6</v>
      </c>
      <c r="K1428" s="1">
        <f>[2]Transport!G$27/SUM([2]Transport!G$24,[2]Transport!G$27)*K1425*(K$47+K$614)/(K$47+K$614+K$49)</f>
        <v>6.2503026668980712E-4</v>
      </c>
      <c r="L1428" s="1">
        <f>[2]Transport!H$27/SUM([2]Transport!H$24,[2]Transport!H$27)*L1425*(L$47+L$614)/(L$47+L$614+L$49)</f>
        <v>9.2459740071435932E-7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8.7273409822496636E-3</v>
      </c>
      <c r="K1429" s="1">
        <f>(K$49+K$716)/([2]Transport!G$24+[2]Transport!G$27)*K1425</f>
        <v>8.050451133377505E-2</v>
      </c>
      <c r="L1429" s="1">
        <f>(L$49+L$716)/([2]Transport!H$24+[2]Transport!H$27)*L1425</f>
        <v>1.1623091919169965E-5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2.8191998398789978E-4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1.0753507154539918E-4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2.7676974593427703E-5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2.1376214318507509E-4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2.2907043641725132E-4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6.7704183406619442E-5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3.7924548540047248E-3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4.0036653937195873E-3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1.0617721909277528E-4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1.899211556576836E-6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9.3759583897147804E-7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16">SUM(G1436:G1458)</f>
        <v>0.1316410792675316</v>
      </c>
      <c r="H1435" s="3">
        <f t="shared" ref="H1435" si="1517">SUM(H1436:H1458)</f>
        <v>0.13268148360649634</v>
      </c>
      <c r="I1435" s="3">
        <f t="shared" ref="I1435" si="1518">SUM(I1436:I1458)</f>
        <v>0.13440863161754635</v>
      </c>
      <c r="J1435" s="3">
        <f t="shared" ref="J1435" si="1519">SUM(J1436:J1458)</f>
        <v>0.13463513963380647</v>
      </c>
      <c r="K1435" s="3">
        <f t="shared" ref="K1435:L1435" si="1520">SUM(K1436:K1458)</f>
        <v>0.13472523790512692</v>
      </c>
      <c r="L1435" s="3">
        <f t="shared" si="1520"/>
        <v>0.1311445440583196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6.4587706986962062E-2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6.4456353140375539E-2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6.2972850439214037E-2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3.1195999138769914E-2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5.2762142820372525E-2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5.5954511731446083E-2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3.7200121523725191E-3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3.8060719083411756E-3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1.0009112673110216E-2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1.0273698408916957E-6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1.3101289704061239E-6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1.5165846820366581E-7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0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0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0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0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0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0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2.0598281933950063E-4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4.0402014039004047E-4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1.7782627081107294E-4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2.6284675377592204E-2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4.7541753170582401E-3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4.8211368414955088E-5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8.3223601173949852E-3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8.229187051771553E-3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1.9629489964429372E-3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8.6595111469295198E-8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9.1787269758526405E-8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4.0535380379325759E-5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1.6089479902731315E-5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4.2057053531931249E-6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2.0703058307387051E-5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2.3973073707565038E-5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7.1910851649314716E-6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2.5596471691141464E-4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2.7177852194099181E-4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7.5341298939875747E-6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8.5920824773247896E-8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4.4535026387961501E-8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0.37869321701871866</v>
      </c>
      <c r="G1461" s="1">
        <f t="shared" si="1528"/>
        <v>0.39093847838955337</v>
      </c>
      <c r="H1461" s="1">
        <f t="shared" si="1528"/>
        <v>0.39392281954432651</v>
      </c>
      <c r="I1461" s="1">
        <f t="shared" si="1528"/>
        <v>0.44729952526125627</v>
      </c>
      <c r="J1461" s="1">
        <f t="shared" si="1528"/>
        <v>0.47098921018180651</v>
      </c>
      <c r="K1461" s="1">
        <f t="shared" si="1528"/>
        <v>0.47114512690490074</v>
      </c>
      <c r="L1461" s="1">
        <f t="shared" ref="L1461" si="1529">IFERROR(L1437/L1402,"-")</f>
        <v>0.5279901113779385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0.27518070496490726</v>
      </c>
      <c r="G1462" s="1">
        <f t="shared" si="1530"/>
        <v>0.27808861231315707</v>
      </c>
      <c r="H1462" s="1">
        <f t="shared" si="1530"/>
        <v>0.27962421068242294</v>
      </c>
      <c r="I1462" s="1">
        <f t="shared" si="1530"/>
        <v>0.3243007582409802</v>
      </c>
      <c r="J1462" s="1">
        <f t="shared" si="1530"/>
        <v>0.34131952824124689</v>
      </c>
      <c r="K1462" s="1">
        <f t="shared" si="1530"/>
        <v>0.34814087280444156</v>
      </c>
      <c r="L1462" s="1">
        <f t="shared" ref="L1462" si="1531">IFERROR(L1438/L1403,"-")</f>
        <v>0.37987862516061266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0.18297040713439894</v>
      </c>
      <c r="G1463" s="1">
        <f t="shared" si="1532"/>
        <v>0.18501622946950105</v>
      </c>
      <c r="H1463" s="1">
        <f t="shared" si="1532"/>
        <v>0.18780509587584579</v>
      </c>
      <c r="I1463" s="1">
        <f t="shared" si="1532"/>
        <v>0.21583768061035952</v>
      </c>
      <c r="J1463" s="1">
        <f t="shared" si="1532"/>
        <v>0.22752320661781383</v>
      </c>
      <c r="K1463" s="1">
        <f t="shared" si="1532"/>
        <v>0.22781479731389259</v>
      </c>
      <c r="L1463" s="1">
        <f t="shared" ref="L1463" si="1533">IFERROR(L1439/L1404,"-")</f>
        <v>0.26206262120066198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0.12643429100140419</v>
      </c>
      <c r="H1464" s="1">
        <f t="shared" si="1534"/>
        <v>0.1293361822157775</v>
      </c>
      <c r="I1464" s="1">
        <f t="shared" si="1534"/>
        <v>0.14062267667862027</v>
      </c>
      <c r="J1464" s="1">
        <f t="shared" si="1534"/>
        <v>0.15203630835067852</v>
      </c>
      <c r="K1464" s="1">
        <f t="shared" si="1534"/>
        <v>0.15788737355636734</v>
      </c>
      <c r="L1464" s="1">
        <f t="shared" ref="L1464" si="1535">IFERROR(L1440/L1405,"-")</f>
        <v>0.17547614587850288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0.1625136996888385</v>
      </c>
      <c r="H1469" s="1">
        <f t="shared" si="1544"/>
        <v>0.163131934407891</v>
      </c>
      <c r="I1469" s="1" t="str">
        <f t="shared" si="1544"/>
        <v>-</v>
      </c>
      <c r="J1469" s="1" t="str">
        <f t="shared" si="1544"/>
        <v>-</v>
      </c>
      <c r="K1469" s="1" t="str">
        <f t="shared" si="1544"/>
        <v>-</v>
      </c>
      <c r="L1469" s="1" t="str">
        <f t="shared" ref="L1469" si="1545">IFERROR(L1445/L1416,"-")</f>
        <v>-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0.11649393435744142</v>
      </c>
      <c r="H1470" s="1">
        <f t="shared" si="1546"/>
        <v>0.1190900986774391</v>
      </c>
      <c r="I1470" s="1" t="str">
        <f t="shared" si="1546"/>
        <v>-</v>
      </c>
      <c r="J1470" s="1" t="str">
        <f t="shared" si="1546"/>
        <v>-</v>
      </c>
      <c r="K1470" s="1" t="str">
        <f t="shared" si="1546"/>
        <v>-</v>
      </c>
      <c r="L1470" s="1" t="str">
        <f t="shared" ref="L1470" si="1547">IFERROR(L1446/L1417,"-")</f>
        <v>-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7.8235828164578858E-2</v>
      </c>
      <c r="H1471" s="1">
        <f t="shared" si="1548"/>
        <v>7.9893000467375533E-2</v>
      </c>
      <c r="I1471" s="1">
        <f t="shared" si="1548"/>
        <v>7.9481860886297384E-2</v>
      </c>
      <c r="J1471" s="1" t="str">
        <f t="shared" si="1548"/>
        <v>-</v>
      </c>
      <c r="K1471" s="1" t="str">
        <f t="shared" si="1548"/>
        <v>-</v>
      </c>
      <c r="L1471" s="1" t="str">
        <f t="shared" ref="L1471" si="1549">IFERROR(L1447/L1418,"-")</f>
        <v>-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5.2751439830497765E-2</v>
      </c>
      <c r="H1472" s="1">
        <f t="shared" si="1550"/>
        <v>5.391248825741507E-2</v>
      </c>
      <c r="I1472" s="1" t="str">
        <f t="shared" si="1550"/>
        <v>-</v>
      </c>
      <c r="J1472" s="1" t="str">
        <f t="shared" si="1550"/>
        <v>-</v>
      </c>
      <c r="K1472" s="1" t="str">
        <f t="shared" si="1550"/>
        <v>-</v>
      </c>
      <c r="L1472" s="1" t="str">
        <f t="shared" ref="L1472" si="1551">IFERROR(L1448/L1419,"-")</f>
        <v>-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52">IFERROR(G1449/G1420,"-")</f>
        <v>7.9797266512003135</v>
      </c>
      <c r="H1473" s="1">
        <f t="shared" si="1552"/>
        <v>5.0239422367072937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0.12391916748597481</v>
      </c>
      <c r="G1474" s="1">
        <f t="shared" si="1554"/>
        <v>0.12655516414469573</v>
      </c>
      <c r="H1474" s="1">
        <f t="shared" si="1554"/>
        <v>0.1282043030406563</v>
      </c>
      <c r="I1474" s="1" t="str">
        <f t="shared" si="1554"/>
        <v>-</v>
      </c>
      <c r="J1474" s="1">
        <f t="shared" si="1554"/>
        <v>0.14562882193938448</v>
      </c>
      <c r="K1474" s="1">
        <f t="shared" si="1554"/>
        <v>0.16095447246351186</v>
      </c>
      <c r="L1474" s="1">
        <f t="shared" ref="L1474" si="1555">IFERROR(L1450/L1421,"-")</f>
        <v>0.16255807779295101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8.7465847585616777E-2</v>
      </c>
      <c r="G1475" s="1">
        <f t="shared" si="1556"/>
        <v>8.7818723189884082E-2</v>
      </c>
      <c r="H1475" s="1">
        <f t="shared" si="1556"/>
        <v>8.7768173567447524E-2</v>
      </c>
      <c r="I1475" s="1" t="str">
        <f t="shared" si="1556"/>
        <v>-</v>
      </c>
      <c r="J1475" s="1">
        <f t="shared" si="1556"/>
        <v>0.10288962861682166</v>
      </c>
      <c r="K1475" s="1">
        <f t="shared" si="1556"/>
        <v>0.10310433555421378</v>
      </c>
      <c r="L1475" s="1">
        <f t="shared" ref="L1475" si="1557">IFERROR(L1451/L1422,"-")</f>
        <v>0.11316861020309857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5.7949527986548635E-2</v>
      </c>
      <c r="G1476" s="1">
        <f t="shared" si="1558"/>
        <v>5.8177916378305425E-2</v>
      </c>
      <c r="H1476" s="1">
        <f t="shared" si="1558"/>
        <v>5.8153197484512385E-2</v>
      </c>
      <c r="I1476" s="1" t="str">
        <f t="shared" si="1558"/>
        <v>-</v>
      </c>
      <c r="J1476" s="1">
        <f t="shared" si="1558"/>
        <v>6.918879246512602E-2</v>
      </c>
      <c r="K1476" s="1">
        <f t="shared" si="1558"/>
        <v>7.4073241435812509E-2</v>
      </c>
      <c r="L1476" s="1">
        <f t="shared" ref="L1476" si="1559">IFERROR(L1452/L1423,"-")</f>
        <v>7.5170537347230365E-2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3.8646481387947525E-2</v>
      </c>
      <c r="G1477" s="1">
        <f t="shared" si="1560"/>
        <v>3.89639218943717E-2</v>
      </c>
      <c r="H1477" s="1">
        <f t="shared" si="1560"/>
        <v>3.9346313067143153E-2</v>
      </c>
      <c r="I1477" s="1" t="str">
        <f t="shared" si="1560"/>
        <v>-</v>
      </c>
      <c r="J1477" s="1">
        <f t="shared" si="1560"/>
        <v>4.7920474650368153E-2</v>
      </c>
      <c r="K1477" s="1">
        <f t="shared" si="1560"/>
        <v>5.0276157236679095E-2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62">IFERROR(G1454/G1430,"-")</f>
        <v>7.9767976048237523</v>
      </c>
      <c r="H1478" s="1">
        <f t="shared" si="1562"/>
        <v>5.0166196207658693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0.1202375197484722</v>
      </c>
      <c r="H1479" s="1">
        <f t="shared" si="1564"/>
        <v>0.1222785899510259</v>
      </c>
      <c r="I1479" s="1" t="str">
        <f t="shared" si="1564"/>
        <v>-</v>
      </c>
      <c r="J1479" s="1">
        <f t="shared" si="1564"/>
        <v>0.14378328136208168</v>
      </c>
      <c r="K1479" s="1">
        <f t="shared" si="1564"/>
        <v>0.14962076717397871</v>
      </c>
      <c r="L1479" s="1">
        <f t="shared" ref="L1479" si="1565">IFERROR(L1455/L1431,"-")</f>
        <v>0.15195683108340283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8.4998076233608819E-2</v>
      </c>
      <c r="H1480" s="1">
        <f t="shared" si="1566"/>
        <v>8.744465475970721E-2</v>
      </c>
      <c r="I1480" s="1" t="str">
        <f t="shared" si="1566"/>
        <v>-</v>
      </c>
      <c r="J1480" s="1">
        <f t="shared" si="1566"/>
        <v>9.6850911012163463E-2</v>
      </c>
      <c r="K1480" s="1">
        <f t="shared" si="1566"/>
        <v>0.10465372172207388</v>
      </c>
      <c r="L1480" s="1">
        <f t="shared" ref="L1480" si="1567">IFERROR(L1456/L1432,"-")</f>
        <v>0.10621330622574791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5.6422133461237145E-2</v>
      </c>
      <c r="H1481" s="1">
        <f t="shared" si="1568"/>
        <v>5.8135914278712182E-2</v>
      </c>
      <c r="I1481" s="1" t="str">
        <f t="shared" si="1568"/>
        <v>-</v>
      </c>
      <c r="J1481" s="1">
        <f t="shared" si="1568"/>
        <v>6.7493148043970289E-2</v>
      </c>
      <c r="K1481" s="1">
        <f t="shared" si="1568"/>
        <v>6.7882426530279344E-2</v>
      </c>
      <c r="L1481" s="1">
        <f t="shared" ref="L1481" si="1569">IFERROR(L1457/L1433,"-")</f>
        <v>7.0958063870597526E-2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3.7689157759834377E-2</v>
      </c>
      <c r="H1482" s="1">
        <f t="shared" si="1570"/>
        <v>3.884643720425187E-2</v>
      </c>
      <c r="I1482" s="1" t="str">
        <f t="shared" si="1570"/>
        <v>-</v>
      </c>
      <c r="J1482" s="1">
        <f t="shared" si="1570"/>
        <v>4.5240260083564743E-2</v>
      </c>
      <c r="K1482" s="1">
        <f t="shared" si="1570"/>
        <v>4.7499172390542438E-2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0.49261136197989641</v>
      </c>
      <c r="K1483" s="3">
        <f t="shared" si="1572"/>
        <v>0.50951781331339152</v>
      </c>
      <c r="L1483" s="3">
        <f t="shared" si="1572"/>
        <v>0.53414696386004867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0.49261136197989641</v>
      </c>
      <c r="K1484" s="1">
        <f t="shared" si="1573"/>
        <v>0.50951781331339152</v>
      </c>
      <c r="L1484" s="1">
        <f t="shared" si="1573"/>
        <v>0.53414696386004867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0.49261136197989641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0.50951781331339152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0.53414696386004867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3.3377943963007015E-2</v>
      </c>
      <c r="K1486" s="3">
        <f t="shared" si="1577"/>
        <v>3.4523476991223531E-2</v>
      </c>
      <c r="L1486" s="3">
        <f t="shared" si="1577"/>
        <v>3.6192278140061748E-2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3.3377943963007015E-2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3.4523476991223531E-2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3.6192278140061748E-2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6.7757154095786323E-2</v>
      </c>
      <c r="K1489" s="1">
        <f t="shared" si="1578"/>
        <v>6.7757154095786268E-2</v>
      </c>
      <c r="L1489" s="1">
        <f t="shared" ref="L1489" si="1579">L1487/L1485</f>
        <v>6.7757154095786365E-2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0.81049220903668817</v>
      </c>
      <c r="K1490" s="3">
        <f t="shared" ref="K1490:L1491" si="1584">K1491</f>
        <v>0.83406545569057244</v>
      </c>
      <c r="L1490" s="3">
        <f t="shared" si="1584"/>
        <v>0.87438264033834123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0.81049220903668817</v>
      </c>
      <c r="K1491" s="1">
        <f t="shared" si="1584"/>
        <v>0.83406545569057244</v>
      </c>
      <c r="L1491" s="1">
        <f t="shared" si="1584"/>
        <v>0.87438264033834123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0.81049220903668817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0.83406545569057244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0.87438264033834123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4.0928719476428004E-2</v>
      </c>
      <c r="K1493" s="3">
        <f t="shared" ref="K1493:L1493" si="1592">K1494</f>
        <v>4.2119135360366218E-2</v>
      </c>
      <c r="L1493" s="3">
        <f t="shared" si="1592"/>
        <v>4.4155096622090266E-2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4.0928719476428004E-2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4.2119135360366218E-2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4.4155096622090266E-2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5.0498597050147961E-2</v>
      </c>
      <c r="K1496" s="1">
        <f t="shared" si="1593"/>
        <v>5.0498597050147913E-2</v>
      </c>
      <c r="L1496" s="1">
        <f t="shared" ref="L1496" si="1594">L1494/L1492</f>
        <v>5.0498597050147871E-2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95">SUM(G1498,G1503,G1508)</f>
        <v>2.1601335405463229</v>
      </c>
      <c r="H1497" s="3">
        <f t="shared" si="1595"/>
        <v>1.8787363387846221</v>
      </c>
      <c r="I1497" s="3">
        <f t="shared" si="1595"/>
        <v>1.493777756094576</v>
      </c>
      <c r="J1497" s="3">
        <f t="shared" si="1595"/>
        <v>1.2222785387531552</v>
      </c>
      <c r="K1497" s="3">
        <f t="shared" si="1595"/>
        <v>0.96649042154479259</v>
      </c>
      <c r="L1497" s="3">
        <f t="shared" ref="L1497" si="1596">SUM(L1498,L1503,L1508)</f>
        <v>0.31769670708040998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98">SUM(G1499:G1502)</f>
        <v>3.2922341397748607E-3</v>
      </c>
      <c r="H1498" s="1">
        <f t="shared" si="1598"/>
        <v>3.5277128450142336E-3</v>
      </c>
      <c r="I1498" s="1">
        <f t="shared" si="1598"/>
        <v>2.9295098299796235E-3</v>
      </c>
      <c r="J1498" s="1">
        <f t="shared" si="1598"/>
        <v>2.8701796228122062E-4</v>
      </c>
      <c r="K1498" s="1">
        <f t="shared" si="1598"/>
        <v>2.9727610311298534E-2</v>
      </c>
      <c r="L1498" s="1">
        <f t="shared" ref="L1498" si="1599">SUM(L1499:L1502)</f>
        <v>0.13864240303634737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8.7234408018213493E-5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2.9601212329085538E-2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0.1385918633744832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3.5971063337340206E-5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2.6352068162568449E-5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1.6745609725522506E-5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1.2658707274069663E-4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5.8270860895760065E-5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1.2929850078818313E-5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3.7225418184970285E-5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4.1775053154664514E-5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2.0864202059821737E-5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1.7799903517597636E-4</v>
      </c>
      <c r="J1503" s="1">
        <f t="shared" si="1603"/>
        <v>4.0106170809977624E-5</v>
      </c>
      <c r="K1503" s="1">
        <f t="shared" si="1603"/>
        <v>5.6708108747296825E-5</v>
      </c>
      <c r="L1503" s="1">
        <f t="shared" ref="L1503" si="1604">SUM(L1504:L1507)</f>
        <v>4.6879116970711054E-5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1.5529928959353892E-5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2.2396437883214304E-5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1.674037791134324E-5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1.1478905636680763E-5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1.5259588690536095E-5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1.0764895165023989E-5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8.4333256710994839E-6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1.2092887599338743E-5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1.125527708683761E-5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4.6640105428434907E-6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6.9591945742076817E-6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8.1185668075062149E-6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608">SUM(G1513:G1517)</f>
        <v>2.1568413064065481</v>
      </c>
      <c r="H1508" s="1">
        <f t="shared" si="1608"/>
        <v>1.8752086259396079</v>
      </c>
      <c r="I1508" s="1">
        <f t="shared" si="1608"/>
        <v>1.4906702472294204</v>
      </c>
      <c r="J1508" s="1">
        <f t="shared" si="1608"/>
        <v>1.2219514146200641</v>
      </c>
      <c r="K1508" s="1">
        <f t="shared" si="1608"/>
        <v>0.93670610312474678</v>
      </c>
      <c r="L1508" s="1">
        <f t="shared" ref="L1508" si="1609">SUM(L1513:L1517)</f>
        <v>0.17900742492709187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610">IF(G1508-G1510&lt;0,0,G1508-G1510)</f>
        <v>2.038762569084331</v>
      </c>
      <c r="H1509" s="1">
        <f t="shared" si="1610"/>
        <v>1.7725583681924257</v>
      </c>
      <c r="I1509" s="1">
        <f t="shared" si="1610"/>
        <v>1.4090579416210622</v>
      </c>
      <c r="J1509" s="1">
        <f t="shared" si="1610"/>
        <v>1.0998253374723803</v>
      </c>
      <c r="K1509" s="1">
        <f t="shared" si="1610"/>
        <v>0.88541109948369412</v>
      </c>
      <c r="L1509" s="1">
        <f t="shared" si="1610"/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13">SUM(G1511:G1512)</f>
        <v>0.11807873732221735</v>
      </c>
      <c r="H1510" s="1">
        <f t="shared" ref="H1510" si="1614">SUM(H1511:H1512)</f>
        <v>0.10265025774718209</v>
      </c>
      <c r="I1510" s="1">
        <f t="shared" ref="I1510" si="1615">SUM(I1511:I1512)</f>
        <v>8.1612305608358152E-2</v>
      </c>
      <c r="J1510" s="1">
        <f t="shared" ref="J1510" si="1616">SUM(J1511:J1512)</f>
        <v>0.12212607714768367</v>
      </c>
      <c r="K1510" s="1">
        <f t="shared" ref="K1510:L1510" si="1617">SUM(K1511:K1512)</f>
        <v>5.129500364105271E-2</v>
      </c>
      <c r="L1510" s="1">
        <f t="shared" si="1617"/>
        <v>0.17940792023726782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0.12212607714768367</v>
      </c>
      <c r="K1511" s="1">
        <f>[2]Transport!G$25/SUM([2]Transport!G$21,[2]Transport!G$25)*K1508*(K$35+K$600)/(K$35+K$600+K$39)</f>
        <v>5.1290398527454581E-2</v>
      </c>
      <c r="L1511" s="1">
        <f>[2]Transport!H$25/SUM([2]Transport!H$21,[2]Transport!H$25)*L1508*(L$35+L$600)/(L$35+L$600+L$39)</f>
        <v>0.15215615140502287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4.6051135981285827E-6</v>
      </c>
      <c r="L1512" s="1">
        <f>(L$39+L$719)/([2]Transport!H$21+[2]Transport!H$25)*L1508</f>
        <v>2.7251768832244942E-2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0.89953798947812302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0.77767781665142888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0.17888749819619212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9.4201312554212501E-3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5.7371211213171481E-5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2.5176720320801183E-5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0.18749068111737724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4.5325042063906577E-2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2.5293264172480325E-5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0.12550261276914249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0.11364587319819817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6.9456746406494778E-5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20">SUM(G1519:G1531)</f>
        <v>1.9513607252574001</v>
      </c>
      <c r="H1518" s="3">
        <f t="shared" si="1620"/>
        <v>1.955453688525199</v>
      </c>
      <c r="I1518" s="3">
        <f t="shared" si="1620"/>
        <v>1.9617773488268146</v>
      </c>
      <c r="J1518" s="3">
        <f t="shared" si="1620"/>
        <v>2.0557298773277126</v>
      </c>
      <c r="K1518" s="3">
        <f t="shared" si="1620"/>
        <v>2.0580705046087133</v>
      </c>
      <c r="L1518" s="3">
        <f t="shared" ref="L1518" si="1621">SUM(L1519:L1531)</f>
        <v>2.0196961617333038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1.0022998095693745E-3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0.34480169570247982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1.6482989626909244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2.3057737546118949E-4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1.725074044067755E-4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1.1105432443823721E-4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5.1986968844564354E-4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2.412200989749454E-4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5.611254233871822E-5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1.4201003897565062E-4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1.6038165779079104E-4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8.2753755510154992E-5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7.280235142950507E-5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1.0636359273795507E-4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8.1469442699719225E-5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3.128605978686962E-5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4.1991290400406804E-5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3.0234091516590979E-5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1.4974614795629452E-5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2.1630495774263173E-5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2.0515726575176115E-5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7.3581221818215413E-6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1.1077577494921867E-5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1.3128077702287122E-5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1.8214698880288387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1.6024271704558066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0.37090328266128159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1.0438307660169493E-2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6.7691312100325428E-5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3.0470914332634434E-5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0.13690828665053548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3.3139051709585907E-2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2.0037541895048939E-5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8.4892216927523328E-2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7.687972331116058E-2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4.8139964089041287E-5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11.098927012431879</v>
      </c>
      <c r="G1533" s="1">
        <f t="shared" si="1625"/>
        <v>11.110680828840779</v>
      </c>
      <c r="H1533" s="1">
        <f t="shared" si="1625"/>
        <v>11.115822786618411</v>
      </c>
      <c r="I1533" s="1">
        <f t="shared" si="1625"/>
        <v>11.138668875314718</v>
      </c>
      <c r="J1533" s="1">
        <f t="shared" si="1625"/>
        <v>11.489730168858443</v>
      </c>
      <c r="K1533" s="1">
        <f t="shared" si="1625"/>
        <v>11.648228858643225</v>
      </c>
      <c r="L1533" s="1">
        <f t="shared" ref="L1533" si="1626">IFERROR(L1519/L1499,"-")</f>
        <v>11.893187107508076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6.2845243629359953</v>
      </c>
      <c r="G1534" s="1">
        <f t="shared" si="1625"/>
        <v>6.2908073347975186</v>
      </c>
      <c r="H1534" s="1">
        <f t="shared" si="1625"/>
        <v>6.2986448643832285</v>
      </c>
      <c r="I1534" s="1">
        <f t="shared" si="1625"/>
        <v>6.3175502485417363</v>
      </c>
      <c r="J1534" s="1">
        <f t="shared" si="1625"/>
        <v>6.4100794935866077</v>
      </c>
      <c r="K1534" s="1">
        <f t="shared" si="1625"/>
        <v>6.5462567621850667</v>
      </c>
      <c r="L1534" s="1">
        <f t="shared" ref="L1534" si="1627">IFERROR(L1520/L1500,"-")</f>
        <v>6.6318471682148337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4.0901432735634922</v>
      </c>
      <c r="G1535" s="1">
        <f t="shared" si="1625"/>
        <v>4.1004682149723637</v>
      </c>
      <c r="H1535" s="1">
        <f t="shared" si="1625"/>
        <v>4.1117924440268583</v>
      </c>
      <c r="I1535" s="1">
        <f t="shared" si="1625"/>
        <v>4.130320202530724</v>
      </c>
      <c r="J1535" s="1">
        <f t="shared" si="1625"/>
        <v>4.1068149945338774</v>
      </c>
      <c r="K1535" s="1">
        <f t="shared" si="1625"/>
        <v>4.1396350640238646</v>
      </c>
      <c r="L1535" s="1">
        <f t="shared" ref="L1535" si="1628">IFERROR(L1521/L1501,"-")</f>
        <v>4.3397674371060049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3.7650534829600404</v>
      </c>
      <c r="G1536" s="1">
        <f t="shared" si="1625"/>
        <v>3.775960490770744</v>
      </c>
      <c r="H1536" s="1">
        <f t="shared" si="1625"/>
        <v>3.7900371929078718</v>
      </c>
      <c r="I1536" s="1">
        <f t="shared" si="1625"/>
        <v>3.8079574472465532</v>
      </c>
      <c r="J1536" s="1">
        <f t="shared" si="1625"/>
        <v>3.8148675260010108</v>
      </c>
      <c r="K1536" s="1">
        <f t="shared" si="1625"/>
        <v>3.8391730393976333</v>
      </c>
      <c r="L1536" s="1">
        <f t="shared" ref="L1536" si="1629">IFERROR(L1522/L1502,"-")</f>
        <v>3.9663033972199768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>
        <f t="shared" si="1630"/>
        <v>4.6391179485367839</v>
      </c>
      <c r="J1537" s="1">
        <f t="shared" si="1630"/>
        <v>4.6878740797880596</v>
      </c>
      <c r="K1537" s="1">
        <f t="shared" si="1630"/>
        <v>4.7491298970213709</v>
      </c>
      <c r="L1537" s="1">
        <f t="shared" ref="L1537" si="1631">IFERROR(L1523/L1504,"-")</f>
        <v>4.8666429832815021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>
        <f t="shared" si="1630"/>
        <v>2.7008868509993613</v>
      </c>
      <c r="J1538" s="1">
        <f t="shared" si="1630"/>
        <v>2.7255263504297162</v>
      </c>
      <c r="K1538" s="1">
        <f t="shared" si="1630"/>
        <v>2.7517970013470645</v>
      </c>
      <c r="L1538" s="1">
        <f t="shared" ref="L1538" si="1632">IFERROR(L1524/L1505,"-")</f>
        <v>2.8085820672758595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>
        <f t="shared" si="1630"/>
        <v>1.7606485351727312</v>
      </c>
      <c r="J1539" s="1">
        <f t="shared" si="1630"/>
        <v>1.7756476364889577</v>
      </c>
      <c r="K1539" s="1">
        <f t="shared" si="1630"/>
        <v>1.7886956772380784</v>
      </c>
      <c r="L1539" s="1">
        <f t="shared" ref="L1539" si="1633">IFERROR(L1525/L1506,"-")</f>
        <v>1.8227651275834036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>
        <f t="shared" si="1630"/>
        <v>1.5620411785777211</v>
      </c>
      <c r="J1540" s="1">
        <f t="shared" si="1630"/>
        <v>1.5776384110263055</v>
      </c>
      <c r="K1540" s="1">
        <f t="shared" si="1630"/>
        <v>1.591790167209554</v>
      </c>
      <c r="L1540" s="1">
        <f t="shared" ref="L1540" si="1634">IFERROR(L1526/L1507,"-")</f>
        <v>1.6170437484297406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0.77116510534577731</v>
      </c>
      <c r="G1541" s="1">
        <f t="shared" si="1635"/>
        <v>0.78723832996731913</v>
      </c>
      <c r="H1541" s="1">
        <f t="shared" si="1635"/>
        <v>0.81134816689963296</v>
      </c>
      <c r="I1541" s="1">
        <f t="shared" si="1635"/>
        <v>0.85153122845348861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1.9078836334110914</v>
      </c>
      <c r="G1542" s="1">
        <f t="shared" si="1635"/>
        <v>1.9208642893896253</v>
      </c>
      <c r="H1542" s="1">
        <f t="shared" si="1635"/>
        <v>1.9366612512603016</v>
      </c>
      <c r="I1542" s="1">
        <f t="shared" si="1635"/>
        <v>1.9723710785063693</v>
      </c>
      <c r="J1542" s="1">
        <f t="shared" si="1635"/>
        <v>2.0248949008652595</v>
      </c>
      <c r="K1542" s="1">
        <f t="shared" si="1635"/>
        <v>2.0605283269563124</v>
      </c>
      <c r="L1542" s="1">
        <f t="shared" ref="L1542" si="1637">IFERROR(L1528/L1514,"-")</f>
        <v>2.0733885061911876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1.102762984747321</v>
      </c>
      <c r="G1543" s="1">
        <f t="shared" si="1635"/>
        <v>1.1043023896302169</v>
      </c>
      <c r="H1543" s="1">
        <f t="shared" si="1635"/>
        <v>1.1043418562863239</v>
      </c>
      <c r="I1543" s="1">
        <f t="shared" si="1635"/>
        <v>1.1047333868133651</v>
      </c>
      <c r="J1543" s="1">
        <f t="shared" si="1635"/>
        <v>1.1080851611448923</v>
      </c>
      <c r="K1543" s="1">
        <f t="shared" si="1635"/>
        <v>1.1798829180860073</v>
      </c>
      <c r="L1543" s="1">
        <f t="shared" ref="L1543" si="1638">IFERROR(L1529/L1515,"-")</f>
        <v>1.2102813211718904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0.72942698043637044</v>
      </c>
      <c r="G1544" s="1">
        <f t="shared" si="1635"/>
        <v>0.73017519250276863</v>
      </c>
      <c r="H1544" s="1">
        <f t="shared" si="1635"/>
        <v>0.73018945813520475</v>
      </c>
      <c r="I1544" s="1">
        <f t="shared" si="1635"/>
        <v>0.73022069155763158</v>
      </c>
      <c r="J1544" s="1">
        <f t="shared" si="1635"/>
        <v>0.73021382094625276</v>
      </c>
      <c r="K1544" s="1">
        <f t="shared" si="1635"/>
        <v>0.73114221632406007</v>
      </c>
      <c r="L1544" s="1">
        <f t="shared" ref="L1544" si="1639">IFERROR(L1530/L1516,"-")</f>
        <v>0.79220861959170386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0.67580166525687346</v>
      </c>
      <c r="G1545" s="1">
        <f t="shared" si="1635"/>
        <v>0.67641703785572327</v>
      </c>
      <c r="H1545" s="1">
        <f t="shared" si="1635"/>
        <v>0.6764309171050279</v>
      </c>
      <c r="I1545" s="1">
        <f t="shared" si="1635"/>
        <v>0.67645375916058958</v>
      </c>
      <c r="J1545" s="1">
        <f t="shared" si="1635"/>
        <v>0.67641792512861454</v>
      </c>
      <c r="K1545" s="1">
        <f t="shared" si="1635"/>
        <v>0.67648495407380516</v>
      </c>
      <c r="L1545" s="1">
        <f t="shared" ref="L1545" si="1640">IFERROR(L1531/L1517,"-")</f>
        <v>0.69309270272037682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41">G1547+G1550+G1552+G1559+G1567</f>
        <v>15.598596711279653</v>
      </c>
      <c r="H1546" s="3">
        <f t="shared" si="1641"/>
        <v>13.991480536147877</v>
      </c>
      <c r="I1546" s="3">
        <f t="shared" si="1641"/>
        <v>11.304650607363683</v>
      </c>
      <c r="J1546" s="3">
        <f t="shared" si="1641"/>
        <v>8.1668422885004226</v>
      </c>
      <c r="K1546" s="3">
        <f t="shared" si="1641"/>
        <v>7.6259022049826468</v>
      </c>
      <c r="L1546" s="3">
        <f t="shared" ref="L1546" si="1642">L1547+L1550+L1552+L1559+L1567</f>
        <v>8.0790732196544681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45">SUM(G1548:G1549)</f>
        <v>0.11419088686153037</v>
      </c>
      <c r="H1547" s="1">
        <f t="shared" si="1645"/>
        <v>0.14404128100125044</v>
      </c>
      <c r="I1547" s="1">
        <f t="shared" si="1645"/>
        <v>1.7102927997286288</v>
      </c>
      <c r="J1547" s="1">
        <f t="shared" si="1645"/>
        <v>5.2246601031017601</v>
      </c>
      <c r="K1547" s="1">
        <f t="shared" si="1645"/>
        <v>7.0723343351241432</v>
      </c>
      <c r="L1547" s="1">
        <f t="shared" ref="L1547" si="1646">SUM(L1548:L1549)</f>
        <v>8.0790732196544681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5.2246601031017601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7.0723343351241432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8.0790732196544681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6.4249998262830025E-5</v>
      </c>
      <c r="H1550" s="1">
        <f t="shared" si="1648"/>
        <v>9.7651575056517857E-5</v>
      </c>
      <c r="I1550" s="1">
        <f t="shared" si="1648"/>
        <v>8.327910432525534E-6</v>
      </c>
      <c r="J1550" s="1">
        <f t="shared" si="1648"/>
        <v>0</v>
      </c>
      <c r="K1550" s="1">
        <f t="shared" si="1648"/>
        <v>0</v>
      </c>
      <c r="L1550" s="1">
        <f t="shared" si="1648"/>
        <v>0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0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0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1.3229585049975059</v>
      </c>
      <c r="G1552" s="1">
        <f t="shared" ref="G1552:K1552" si="1649">SUM(G1557:G1558)</f>
        <v>2.3458591954299575</v>
      </c>
      <c r="H1552" s="1">
        <f t="shared" si="1649"/>
        <v>1.3120562450197877</v>
      </c>
      <c r="I1552" s="1">
        <f t="shared" si="1649"/>
        <v>1.6352425061999956</v>
      </c>
      <c r="J1552" s="1">
        <f t="shared" si="1649"/>
        <v>0.18319678445816392</v>
      </c>
      <c r="K1552" s="1">
        <f t="shared" si="1649"/>
        <v>3.7570876532410025E-4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1.2505378889999061</v>
      </c>
      <c r="G1553" s="1">
        <f t="shared" ref="G1553:L1553" si="1651">IF(G1552-G1554&lt;0,0,G1552-G1554)</f>
        <v>2.2174324581872544</v>
      </c>
      <c r="H1553" s="1">
        <f t="shared" si="1651"/>
        <v>1.2402333502938232</v>
      </c>
      <c r="I1553" s="1">
        <f t="shared" si="1651"/>
        <v>1.5457150527556041</v>
      </c>
      <c r="J1553" s="1">
        <f t="shared" si="1651"/>
        <v>0.16488746023769016</v>
      </c>
      <c r="K1553" s="1">
        <f t="shared" si="1651"/>
        <v>3.5513456129042739E-4</v>
      </c>
      <c r="L1553" s="1">
        <f t="shared" si="1651"/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7.2420615997599719E-2</v>
      </c>
      <c r="G1554" s="1">
        <f t="shared" ref="G1554:K1554" si="1652">SUM(G1555:G1556)</f>
        <v>0.12842673724270301</v>
      </c>
      <c r="H1554" s="1">
        <f t="shared" si="1652"/>
        <v>7.1822894725964551E-2</v>
      </c>
      <c r="I1554" s="1">
        <f t="shared" si="1652"/>
        <v>8.9527453444391517E-2</v>
      </c>
      <c r="J1554" s="1">
        <f t="shared" si="1652"/>
        <v>1.8309324220473756E-2</v>
      </c>
      <c r="K1554" s="1">
        <f t="shared" si="1652"/>
        <v>2.0574204033672851E-5</v>
      </c>
      <c r="L1554" s="1">
        <f t="shared" ref="L1554" si="1653">SUM(L1555:L1556)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1.8309324220473756E-2</v>
      </c>
      <c r="K1555" s="1">
        <f>[2]Transport!G$25/SUM([2]Transport!G$21,[2]Transport!G$25)*K1552*(K$35+K$600)/(K$35+K$600+K$39)</f>
        <v>2.0572356942532567E-5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1.8470911402823389E-9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0.18319678445816392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3.7570876532410025E-4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15.232765635283531</v>
      </c>
      <c r="G1559" s="1">
        <f t="shared" ref="G1559:K1559" si="1654">SUM(G1564:G1566)</f>
        <v>13.115772175244087</v>
      </c>
      <c r="H1559" s="1">
        <f t="shared" si="1654"/>
        <v>12.503786090218654</v>
      </c>
      <c r="I1559" s="1">
        <f t="shared" si="1654"/>
        <v>7.9590030486076753</v>
      </c>
      <c r="J1559" s="1">
        <f t="shared" si="1654"/>
        <v>2.7557646085761078</v>
      </c>
      <c r="K1559" s="1">
        <f t="shared" si="1654"/>
        <v>0.55262818625483223</v>
      </c>
      <c r="L1559" s="1">
        <f t="shared" ref="L1559" si="1655">SUM(L1564:L1566)</f>
        <v>0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14.853097805054837</v>
      </c>
      <c r="G1560" s="1">
        <f t="shared" ref="G1560:L1560" si="1656">IF(G1559-G1561&lt;0,0,G1559-G1561)</f>
        <v>12.773918660361032</v>
      </c>
      <c r="H1560" s="1">
        <f t="shared" si="1656"/>
        <v>11.942704571266043</v>
      </c>
      <c r="I1560" s="1">
        <f t="shared" si="1656"/>
        <v>7.6023509546665649</v>
      </c>
      <c r="J1560" s="1">
        <f t="shared" si="1656"/>
        <v>2.562375144490479</v>
      </c>
      <c r="K1560" s="1">
        <f t="shared" si="1656"/>
        <v>0.48376937860381963</v>
      </c>
      <c r="L1560" s="1">
        <f t="shared" si="1656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0.37966783022869471</v>
      </c>
      <c r="G1561" s="1">
        <f t="shared" ref="G1561:K1561" si="1657">SUM(G1562:G1563)</f>
        <v>0.34185351488305532</v>
      </c>
      <c r="H1561" s="1">
        <f t="shared" si="1657"/>
        <v>0.5610815189526096</v>
      </c>
      <c r="I1561" s="1">
        <f t="shared" si="1657"/>
        <v>0.35665209394111019</v>
      </c>
      <c r="J1561" s="1">
        <f t="shared" si="1657"/>
        <v>0.19338946408562904</v>
      </c>
      <c r="K1561" s="1">
        <f t="shared" si="1657"/>
        <v>6.8858807651012613E-2</v>
      </c>
      <c r="L1561" s="1">
        <f t="shared" ref="L1561" si="1658">SUM(L1562:L1563)</f>
        <v>0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0.19338946408562904</v>
      </c>
      <c r="K1562" s="1">
        <f>[2]Transport!G$26/SUM([2]Transport!G$22,[2]Transport!G$26)*K1559*(K$34+K$582)/(K$34+K$582+K$38)</f>
        <v>6.8857265781637214E-2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1.5418693753996486E-6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2.95148309661709E-4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3.3239031439302623E-5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2.755469460266446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0.55259494722339297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2.5442636069214691E-2</v>
      </c>
      <c r="G1567" s="1">
        <f t="shared" ref="G1567:K1567" si="1659">G1572</f>
        <v>2.2710203745814981E-2</v>
      </c>
      <c r="H1567" s="1">
        <f t="shared" si="1659"/>
        <v>3.149926833312789E-2</v>
      </c>
      <c r="I1567" s="1">
        <f t="shared" si="1659"/>
        <v>1.0392491695151445E-4</v>
      </c>
      <c r="J1567" s="1">
        <f t="shared" si="1659"/>
        <v>3.2207923643918913E-3</v>
      </c>
      <c r="K1567" s="1">
        <f t="shared" si="1659"/>
        <v>5.6397483834705298E-4</v>
      </c>
      <c r="L1567" s="1">
        <f t="shared" ref="L1567" si="1660">L1572</f>
        <v>0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2.3522490536130796E-2</v>
      </c>
      <c r="G1568" s="1">
        <f t="shared" ref="G1568:L1568" si="1661">IF(G1567-G1569&lt;0,0,G1567-G1569)</f>
        <v>2.0536299483318282E-2</v>
      </c>
      <c r="H1568" s="1">
        <f t="shared" si="1661"/>
        <v>3.1180169176413954E-2</v>
      </c>
      <c r="I1568" s="1">
        <f t="shared" si="1661"/>
        <v>1.0171101430933275E-4</v>
      </c>
      <c r="J1568" s="1">
        <f t="shared" si="1661"/>
        <v>0</v>
      </c>
      <c r="K1568" s="1">
        <f t="shared" si="1661"/>
        <v>0</v>
      </c>
      <c r="L1568" s="1">
        <f t="shared" si="1661"/>
        <v>0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1.9201455330838961E-3</v>
      </c>
      <c r="G1569" s="1">
        <f t="shared" ref="G1569:K1569" si="1662">SUM(G1570:G1571)</f>
        <v>2.1739042624966975E-3</v>
      </c>
      <c r="H1569" s="1">
        <f t="shared" si="1662"/>
        <v>3.1909915671393815E-4</v>
      </c>
      <c r="I1569" s="1">
        <f t="shared" si="1662"/>
        <v>2.2139026421817065E-6</v>
      </c>
      <c r="J1569" s="1">
        <f t="shared" si="1662"/>
        <v>6.5533339089724908E-3</v>
      </c>
      <c r="K1569" s="1">
        <f t="shared" si="1662"/>
        <v>1.0539696523541401E-2</v>
      </c>
      <c r="L1569" s="1">
        <f t="shared" ref="L1569" si="1663">SUM(L1570:L1571)</f>
        <v>0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1.1856439577930598E-6</v>
      </c>
      <c r="K1570" s="1">
        <f>[2]Transport!G$27/SUM([2]Transport!G$24,[2]Transport!G$27)*K1567*(K$47+K$614)/(K$47+K$614+K$49)</f>
        <v>8.1198897454401109E-5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6.5521482650146975E-3</v>
      </c>
      <c r="K1571" s="1">
        <f>(K$49+K$716)/([2]Transport!G$24+[2]Transport!G$27)*K1567</f>
        <v>1.0458497626086999E-2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3.2207923643918913E-3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5.6397483834705298E-4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64">SUM(G1574:G1582)</f>
        <v>4.7700762698269692</v>
      </c>
      <c r="H1573" s="3">
        <f t="shared" si="1664"/>
        <v>4.7104816417122732</v>
      </c>
      <c r="I1573" s="3">
        <f t="shared" si="1664"/>
        <v>4.6522237540301568</v>
      </c>
      <c r="J1573" s="3">
        <f t="shared" si="1664"/>
        <v>4.8949703632957275</v>
      </c>
      <c r="K1573" s="3">
        <f t="shared" si="1664"/>
        <v>5.0737305089413871</v>
      </c>
      <c r="L1573" s="3">
        <f t="shared" ref="L1573" si="1665">SUM(L1574:L1582)</f>
        <v>5.5047376964223735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3.5598617116838449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4.8187885364808158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5.5047376964223735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0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0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6.434413555350782E-2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1.3196004392847634E-4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1.0097452035005472E-4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1.1371555067792399E-5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1.2696310298179414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0.25461784354074679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1.0325117200834409E-3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1.807973208280505E-4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66">IFERROR(G1574/G1548,"-")</f>
        <v>0.69564643130450488</v>
      </c>
      <c r="H1584" s="1">
        <f t="shared" si="1666"/>
        <v>0.70528179819816994</v>
      </c>
      <c r="I1584" s="1">
        <f t="shared" si="1666"/>
        <v>0.70528179819816939</v>
      </c>
      <c r="J1584" s="1" t="str">
        <f t="shared" si="1666"/>
        <v>-</v>
      </c>
      <c r="K1584" s="1" t="str">
        <f t="shared" si="1666"/>
        <v>-</v>
      </c>
      <c r="L1584" s="1" t="str">
        <f t="shared" ref="L1584" si="1667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68">IFERROR(G1575/G1549,"-")</f>
        <v>0.68135756995377073</v>
      </c>
      <c r="H1585" s="1">
        <f t="shared" si="1668"/>
        <v>0.68135756995377406</v>
      </c>
      <c r="I1585" s="1">
        <f t="shared" si="1668"/>
        <v>0.68135756995377328</v>
      </c>
      <c r="J1585" s="1">
        <f t="shared" si="1668"/>
        <v>0.68135756995377306</v>
      </c>
      <c r="K1585" s="1">
        <f t="shared" si="1668"/>
        <v>0.6813575699537725</v>
      </c>
      <c r="L1585" s="1">
        <f t="shared" ref="L1585" si="1669">IFERROR(L1575/L1549,"-")</f>
        <v>0.68135756995377306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70">IFERROR(G1576/G1551,"-")</f>
        <v>0.46510343171505408</v>
      </c>
      <c r="H1586" s="1">
        <f t="shared" si="1670"/>
        <v>0.47377409418701866</v>
      </c>
      <c r="I1586" s="1">
        <f t="shared" si="1670"/>
        <v>0.49668222889838126</v>
      </c>
      <c r="J1586" s="1" t="str">
        <f t="shared" si="1670"/>
        <v>-</v>
      </c>
      <c r="K1586" s="1" t="str">
        <f t="shared" si="1670"/>
        <v>-</v>
      </c>
      <c r="L1586" s="1" t="str">
        <f t="shared" ref="L1586" si="1671">IFERROR(L1576/L1551,"-")</f>
        <v>-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72">IFERROR(G1577/G1557,"-")</f>
        <v>0.2801703405158007</v>
      </c>
      <c r="H1587" s="1">
        <f t="shared" si="1672"/>
        <v>0.28405096708428701</v>
      </c>
      <c r="I1587" s="1">
        <f t="shared" si="1672"/>
        <v>0.28405096708428679</v>
      </c>
      <c r="J1587" s="1" t="str">
        <f t="shared" si="1672"/>
        <v>-</v>
      </c>
      <c r="K1587" s="1" t="str">
        <f t="shared" si="1672"/>
        <v>-</v>
      </c>
      <c r="L1587" s="1" t="str">
        <f t="shared" ref="L1587" si="1673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74">IFERROR(G1578/G1558,"-")</f>
        <v>0.35122961215622034</v>
      </c>
      <c r="H1588" s="1">
        <f t="shared" si="1674"/>
        <v>0.35122961215622106</v>
      </c>
      <c r="I1588" s="1">
        <f t="shared" si="1674"/>
        <v>0.35122961215622095</v>
      </c>
      <c r="J1588" s="1">
        <f t="shared" si="1674"/>
        <v>0.3512296121562215</v>
      </c>
      <c r="K1588" s="1">
        <f t="shared" si="1674"/>
        <v>0.35122961215622089</v>
      </c>
      <c r="L1588" s="1" t="str">
        <f t="shared" ref="L1588" si="1675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76">IFERROR(G1579/G1564,"-")</f>
        <v>0.26793746277611213</v>
      </c>
      <c r="H1589" s="1">
        <f t="shared" si="1676"/>
        <v>0.28128870255135002</v>
      </c>
      <c r="I1589" s="1">
        <f t="shared" si="1676"/>
        <v>0.28128870255134991</v>
      </c>
      <c r="J1589" s="1" t="str">
        <f t="shared" si="1676"/>
        <v>-</v>
      </c>
      <c r="K1589" s="1" t="str">
        <f t="shared" si="1676"/>
        <v>-</v>
      </c>
      <c r="L1589" s="1" t="str">
        <f t="shared" ref="L1589" si="1677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78">IFERROR(G1580/G1565,"-")</f>
        <v>0.34211451343153226</v>
      </c>
      <c r="H1590" s="1">
        <f t="shared" si="1678"/>
        <v>0.3421145134315321</v>
      </c>
      <c r="I1590" s="1">
        <f t="shared" si="1678"/>
        <v>0.34211451343153099</v>
      </c>
      <c r="J1590" s="1">
        <f t="shared" si="1678"/>
        <v>0.34211451343153204</v>
      </c>
      <c r="K1590" s="1">
        <f t="shared" si="1678"/>
        <v>0.3421145134315316</v>
      </c>
      <c r="L1590" s="1" t="str">
        <f t="shared" ref="L1590" si="1679">IFERROR(L1580/L1565,"-")</f>
        <v>-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80">IFERROR(G1581/G1566,"-")</f>
        <v>0.46076759264650791</v>
      </c>
      <c r="H1591" s="1">
        <f t="shared" si="1680"/>
        <v>0.46076759264650774</v>
      </c>
      <c r="I1591" s="1">
        <f t="shared" si="1680"/>
        <v>0.46076759264650774</v>
      </c>
      <c r="J1591" s="1">
        <f t="shared" si="1680"/>
        <v>0.46076759264650741</v>
      </c>
      <c r="K1591" s="1">
        <f t="shared" si="1680"/>
        <v>0.46076759264650774</v>
      </c>
      <c r="L1591" s="1" t="str">
        <f t="shared" ref="L1591" si="1681">IFERROR(L1581/L1566,"-")</f>
        <v>-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82">IFERROR(G1582/G1572,"-")</f>
        <v>0.3205769274351804</v>
      </c>
      <c r="H1592" s="1">
        <f t="shared" si="1682"/>
        <v>0.32057692743517985</v>
      </c>
      <c r="I1592" s="1">
        <f t="shared" si="1682"/>
        <v>0.3205769274351804</v>
      </c>
      <c r="J1592" s="1">
        <f t="shared" si="1682"/>
        <v>0.3205769274351799</v>
      </c>
      <c r="K1592" s="1">
        <f t="shared" si="1682"/>
        <v>0.32057692743517985</v>
      </c>
      <c r="L1592" s="1" t="str">
        <f t="shared" ref="L1592" si="1683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84">G1594+G1597+G1599+G1606+G1614</f>
        <v>22.488679283423398</v>
      </c>
      <c r="H1593" s="3">
        <f t="shared" ref="H1593" si="1685">H1594+H1597+H1599+H1606+H1614</f>
        <v>20.358146048586583</v>
      </c>
      <c r="I1593" s="3">
        <f t="shared" ref="I1593" si="1686">I1594+I1597+I1599+I1606+I1614</f>
        <v>16.583015418065116</v>
      </c>
      <c r="J1593" s="3">
        <f t="shared" ref="J1593" si="1687">J1594+J1597+J1599+J1606+J1614</f>
        <v>13.7015475051568</v>
      </c>
      <c r="K1593" s="3">
        <f t="shared" ref="K1593:L1593" si="1688">K1594+K1597+K1599+K1606+K1614</f>
        <v>13.171651154840811</v>
      </c>
      <c r="L1593" s="3">
        <f t="shared" si="1688"/>
        <v>8.4046809172137511</v>
      </c>
      <c r="N1593" s="1"/>
    </row>
    <row r="1594" spans="2:14" x14ac:dyDescent="0.35">
      <c r="B1594" t="str">
        <f t="shared" ref="B1594:B1639" si="1689">B1593</f>
        <v>SPS1</v>
      </c>
      <c r="C1594" t="str">
        <f t="shared" ref="C1594:C1639" si="1690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91">SUM(G1595:G1596)</f>
        <v>2.5542473404346608E-2</v>
      </c>
      <c r="H1594" s="1">
        <f t="shared" ref="H1594" si="1692">SUM(H1595:H1596)</f>
        <v>2.5462091461601909E-2</v>
      </c>
      <c r="I1594" s="1">
        <f t="shared" ref="I1594" si="1693">SUM(I1595:I1596)</f>
        <v>7.5730667997680346E-3</v>
      </c>
      <c r="J1594" s="1">
        <f t="shared" ref="J1594" si="1694">SUM(J1595:J1596)</f>
        <v>1.4762305999039858</v>
      </c>
      <c r="K1594" s="1">
        <f t="shared" ref="K1594:L1594" si="1695">SUM(K1595:K1596)</f>
        <v>2.6846074337847239</v>
      </c>
      <c r="L1594" s="1">
        <f t="shared" si="1695"/>
        <v>7.9161206900109669</v>
      </c>
      <c r="N1594" s="1"/>
    </row>
    <row r="1595" spans="2:14" x14ac:dyDescent="0.35">
      <c r="B1595" t="str">
        <f t="shared" si="1689"/>
        <v>SPS1</v>
      </c>
      <c r="C1595" t="str">
        <f t="shared" si="1690"/>
        <v>CH</v>
      </c>
      <c r="D1595" t="s">
        <v>1598</v>
      </c>
      <c r="E1595" t="str">
        <f t="shared" ref="E1595:E1619" si="1696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9"/>
        <v>SPS1</v>
      </c>
      <c r="C1596" t="str">
        <f t="shared" si="1690"/>
        <v>CH</v>
      </c>
      <c r="D1596" t="s">
        <v>1599</v>
      </c>
      <c r="E1596" t="str">
        <f t="shared" si="1696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1.4762305999039858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2.6846074337847239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7.9161206900109669</v>
      </c>
      <c r="N1596" s="1"/>
    </row>
    <row r="1597" spans="2:14" x14ac:dyDescent="0.35">
      <c r="B1597" t="str">
        <f t="shared" si="1689"/>
        <v>SPS1</v>
      </c>
      <c r="C1597" t="str">
        <f t="shared" si="1690"/>
        <v>CH</v>
      </c>
      <c r="D1597" t="s">
        <v>1600</v>
      </c>
      <c r="E1597" t="str">
        <f t="shared" si="1696"/>
        <v>PJ/yr.</v>
      </c>
      <c r="F1597" s="1">
        <f>F1598</f>
        <v>2.6331803663188322E-3</v>
      </c>
      <c r="G1597" s="1">
        <f t="shared" ref="G1597" si="1697">G1598</f>
        <v>1.3536172506721249E-3</v>
      </c>
      <c r="H1597" s="1">
        <f t="shared" ref="H1597" si="1698">H1598</f>
        <v>1.3359278382005916E-3</v>
      </c>
      <c r="I1597" s="1">
        <f t="shared" ref="I1597" si="1699">I1598</f>
        <v>7.6598458000869598E-5</v>
      </c>
      <c r="J1597" s="1">
        <f t="shared" ref="J1597" si="1700">J1598</f>
        <v>0</v>
      </c>
      <c r="K1597" s="1">
        <f t="shared" ref="K1597:L1597" si="1701">K1598</f>
        <v>0</v>
      </c>
      <c r="L1597" s="1">
        <f t="shared" si="1701"/>
        <v>0</v>
      </c>
      <c r="N1597" s="1"/>
    </row>
    <row r="1598" spans="2:14" x14ac:dyDescent="0.35">
      <c r="B1598" t="str">
        <f t="shared" si="1689"/>
        <v>SPS1</v>
      </c>
      <c r="C1598" t="str">
        <f t="shared" si="1690"/>
        <v>CH</v>
      </c>
      <c r="D1598" t="s">
        <v>1601</v>
      </c>
      <c r="E1598" t="str">
        <f t="shared" si="1696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0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0</v>
      </c>
      <c r="N1598" s="1"/>
    </row>
    <row r="1599" spans="2:14" x14ac:dyDescent="0.35">
      <c r="B1599" t="str">
        <f t="shared" si="1689"/>
        <v>SPS1</v>
      </c>
      <c r="C1599" t="str">
        <f t="shared" si="1690"/>
        <v>CH</v>
      </c>
      <c r="D1599" t="s">
        <v>1602</v>
      </c>
      <c r="E1599" t="str">
        <f t="shared" si="1696"/>
        <v>PJ/yr.</v>
      </c>
      <c r="F1599" s="1">
        <f>SUM(F1604:F1605)</f>
        <v>0</v>
      </c>
      <c r="G1599" s="1">
        <f t="shared" ref="G1599:K1599" si="1702">SUM(G1604:G1605)</f>
        <v>0</v>
      </c>
      <c r="H1599" s="1">
        <f t="shared" si="1702"/>
        <v>0</v>
      </c>
      <c r="I1599" s="1">
        <f t="shared" si="1702"/>
        <v>0</v>
      </c>
      <c r="J1599" s="1">
        <f t="shared" si="1702"/>
        <v>0</v>
      </c>
      <c r="K1599" s="1">
        <f t="shared" si="1702"/>
        <v>0</v>
      </c>
      <c r="L1599" s="1">
        <f t="shared" ref="L1599" si="1703">SUM(L1604:L1605)</f>
        <v>0</v>
      </c>
      <c r="N1599" s="1"/>
    </row>
    <row r="1600" spans="2:14" x14ac:dyDescent="0.35">
      <c r="B1600" t="str">
        <f t="shared" si="1689"/>
        <v>SPS1</v>
      </c>
      <c r="C1600" t="str">
        <f t="shared" si="1690"/>
        <v>CH</v>
      </c>
      <c r="D1600" t="s">
        <v>1603</v>
      </c>
      <c r="E1600" t="str">
        <f t="shared" si="1696"/>
        <v>PJ/yr.</v>
      </c>
      <c r="F1600" s="1">
        <f>F1599-F1601</f>
        <v>0</v>
      </c>
      <c r="G1600" s="1">
        <f t="shared" ref="G1600:K1600" si="1704">G1599-G1601</f>
        <v>0</v>
      </c>
      <c r="H1600" s="1">
        <f t="shared" si="1704"/>
        <v>0</v>
      </c>
      <c r="I1600" s="1">
        <f t="shared" si="1704"/>
        <v>0</v>
      </c>
      <c r="J1600" s="1">
        <f t="shared" si="1704"/>
        <v>0</v>
      </c>
      <c r="K1600" s="1">
        <f t="shared" si="1704"/>
        <v>0</v>
      </c>
      <c r="L1600" s="1">
        <f t="shared" ref="L1600" si="1705">L1599-L1601</f>
        <v>0</v>
      </c>
      <c r="N1600" s="1"/>
    </row>
    <row r="1601" spans="2:14" x14ac:dyDescent="0.35">
      <c r="B1601" t="str">
        <f t="shared" si="1689"/>
        <v>SPS1</v>
      </c>
      <c r="C1601" t="str">
        <f t="shared" si="1690"/>
        <v>CH</v>
      </c>
      <c r="D1601" t="s">
        <v>1604</v>
      </c>
      <c r="E1601" t="str">
        <f t="shared" si="1696"/>
        <v>PJ/yr.</v>
      </c>
      <c r="F1601" s="1">
        <f>SUM(F1602:F1603)</f>
        <v>0</v>
      </c>
      <c r="G1601" s="1">
        <f t="shared" ref="G1601:K1601" si="1706">SUM(G1602:G1603)</f>
        <v>0</v>
      </c>
      <c r="H1601" s="1">
        <f t="shared" si="1706"/>
        <v>0</v>
      </c>
      <c r="I1601" s="1">
        <f t="shared" si="1706"/>
        <v>0</v>
      </c>
      <c r="J1601" s="1">
        <f t="shared" si="1706"/>
        <v>0</v>
      </c>
      <c r="K1601" s="1">
        <f t="shared" si="1706"/>
        <v>0</v>
      </c>
      <c r="L1601" s="1">
        <f t="shared" ref="L1601" si="1707">SUM(L1602:L1603)</f>
        <v>0</v>
      </c>
      <c r="N1601" s="1"/>
    </row>
    <row r="1602" spans="2:14" x14ac:dyDescent="0.35">
      <c r="B1602" t="str">
        <f t="shared" si="1689"/>
        <v>SPS1</v>
      </c>
      <c r="C1602" t="str">
        <f t="shared" si="1690"/>
        <v>CH</v>
      </c>
      <c r="D1602" t="s">
        <v>1605</v>
      </c>
      <c r="E1602" t="str">
        <f t="shared" si="1696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9"/>
        <v>SPS1</v>
      </c>
      <c r="C1603" t="str">
        <f t="shared" si="1690"/>
        <v>CH</v>
      </c>
      <c r="D1603" t="s">
        <v>1606</v>
      </c>
      <c r="E1603" t="str">
        <f t="shared" si="1696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9"/>
        <v>SPS1</v>
      </c>
      <c r="C1604" t="str">
        <f t="shared" si="1690"/>
        <v>CH</v>
      </c>
      <c r="D1604" t="s">
        <v>1607</v>
      </c>
      <c r="E1604" t="str">
        <f t="shared" si="1696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9"/>
        <v>SPS1</v>
      </c>
      <c r="C1605" t="str">
        <f t="shared" si="1690"/>
        <v>CH</v>
      </c>
      <c r="D1605" t="s">
        <v>1608</v>
      </c>
      <c r="E1605" t="str">
        <f t="shared" si="1696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9"/>
        <v>SPS1</v>
      </c>
      <c r="C1606" t="str">
        <f t="shared" si="1690"/>
        <v>CH</v>
      </c>
      <c r="D1606" t="s">
        <v>1609</v>
      </c>
      <c r="E1606" t="str">
        <f t="shared" si="1696"/>
        <v>PJ/yr.</v>
      </c>
      <c r="F1606" s="1">
        <f>SUM(F1611:F1613)</f>
        <v>24.437314433718512</v>
      </c>
      <c r="G1606" s="1">
        <f t="shared" ref="G1606:K1606" si="1708">SUM(G1611:G1613)</f>
        <v>22.453057739713707</v>
      </c>
      <c r="H1606" s="1">
        <f t="shared" si="1708"/>
        <v>20.319811236183753</v>
      </c>
      <c r="I1606" s="1">
        <f t="shared" si="1708"/>
        <v>16.564287189036058</v>
      </c>
      <c r="J1606" s="1">
        <f t="shared" si="1708"/>
        <v>12.169240557435387</v>
      </c>
      <c r="K1606" s="1">
        <f t="shared" si="1708"/>
        <v>10.432276108231054</v>
      </c>
      <c r="L1606" s="1">
        <f t="shared" ref="L1606" si="1709">SUM(L1611:L1613)</f>
        <v>0.48570861900664802</v>
      </c>
      <c r="N1606" s="1"/>
    </row>
    <row r="1607" spans="2:14" x14ac:dyDescent="0.35">
      <c r="B1607" t="str">
        <f t="shared" si="1689"/>
        <v>SPS1</v>
      </c>
      <c r="C1607" t="str">
        <f t="shared" si="1690"/>
        <v>CH</v>
      </c>
      <c r="D1607" t="s">
        <v>1610</v>
      </c>
      <c r="E1607" t="str">
        <f t="shared" si="1696"/>
        <v>PJ/yr.</v>
      </c>
      <c r="F1607" s="1">
        <f>IF(F1606-F1608&lt;0,0,F1606-F1608)</f>
        <v>23.82822857434078</v>
      </c>
      <c r="G1607" s="1">
        <f t="shared" ref="G1607:L1607" si="1710">IF(G1606-G1608&lt;0,0,G1606-G1608)</f>
        <v>21.867834345647662</v>
      </c>
      <c r="H1607" s="1">
        <f t="shared" si="1710"/>
        <v>19.408001767358385</v>
      </c>
      <c r="I1607" s="1">
        <f t="shared" si="1710"/>
        <v>15.822022401030344</v>
      </c>
      <c r="J1607" s="1">
        <f t="shared" si="1710"/>
        <v>11.315247838896367</v>
      </c>
      <c r="K1607" s="1">
        <f t="shared" si="1710"/>
        <v>9.1323892914415765</v>
      </c>
      <c r="L1607" s="1">
        <f t="shared" si="1710"/>
        <v>0</v>
      </c>
      <c r="N1607" s="1"/>
    </row>
    <row r="1608" spans="2:14" x14ac:dyDescent="0.35">
      <c r="B1608" t="str">
        <f t="shared" si="1689"/>
        <v>SPS1</v>
      </c>
      <c r="C1608" t="str">
        <f t="shared" si="1690"/>
        <v>CH</v>
      </c>
      <c r="D1608" t="s">
        <v>1611</v>
      </c>
      <c r="E1608" t="str">
        <f t="shared" si="1696"/>
        <v>PJ/yr.</v>
      </c>
      <c r="F1608" s="1">
        <f>SUM(F1609:F1610)</f>
        <v>0.60908585937773319</v>
      </c>
      <c r="G1608" s="1">
        <f t="shared" ref="G1608:K1608" si="1711">SUM(G1609:G1610)</f>
        <v>0.58522339406604351</v>
      </c>
      <c r="H1608" s="1">
        <f t="shared" si="1711"/>
        <v>0.91180946882536695</v>
      </c>
      <c r="I1608" s="1">
        <f t="shared" si="1711"/>
        <v>0.74226478800571505</v>
      </c>
      <c r="J1608" s="1">
        <f t="shared" si="1711"/>
        <v>0.85399271853902081</v>
      </c>
      <c r="K1608" s="1">
        <f t="shared" si="1711"/>
        <v>1.2998868167894779</v>
      </c>
      <c r="L1608" s="1">
        <f t="shared" ref="L1608" si="1712">SUM(L1609:L1610)</f>
        <v>0.52574148166295176</v>
      </c>
      <c r="N1608" s="1"/>
    </row>
    <row r="1609" spans="2:14" x14ac:dyDescent="0.35">
      <c r="B1609" t="str">
        <f t="shared" si="1689"/>
        <v>SPS1</v>
      </c>
      <c r="C1609" t="str">
        <f t="shared" si="1690"/>
        <v>CH</v>
      </c>
      <c r="D1609" t="s">
        <v>1612</v>
      </c>
      <c r="E1609" t="str">
        <f t="shared" si="1696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0.85399271853902081</v>
      </c>
      <c r="K1609" s="1">
        <f>[2]Transport!G$26/SUM([2]Transport!G$22,[2]Transport!G$26)*K1606*(K$34+K$582)/(K$34+K$582+K$38)</f>
        <v>1.2998577100456543</v>
      </c>
      <c r="L1609" s="1">
        <f>[2]Transport!H$26/SUM([2]Transport!H$22,[2]Transport!H$26)*L1606*(L$34+L$582)/(L$34+L$582+L$38)</f>
        <v>0.40848103325945989</v>
      </c>
      <c r="N1609" s="1"/>
    </row>
    <row r="1610" spans="2:14" x14ac:dyDescent="0.35">
      <c r="B1610" t="str">
        <f t="shared" si="1689"/>
        <v>SPS1</v>
      </c>
      <c r="C1610" t="str">
        <f t="shared" si="1690"/>
        <v>CH</v>
      </c>
      <c r="D1610" t="s">
        <v>1613</v>
      </c>
      <c r="E1610" t="str">
        <f t="shared" si="1696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2.9106743823554371E-5</v>
      </c>
      <c r="L1610" s="1">
        <f>(L$38+L$718)/([2]Transport!H$22+[2]Transport!H$26)*L1606</f>
        <v>0.11726044840349191</v>
      </c>
      <c r="N1610" s="1"/>
    </row>
    <row r="1611" spans="2:14" x14ac:dyDescent="0.35">
      <c r="B1611" t="str">
        <f t="shared" si="1689"/>
        <v>SPS1</v>
      </c>
      <c r="C1611" t="str">
        <f t="shared" si="1690"/>
        <v>CH</v>
      </c>
      <c r="D1611" t="s">
        <v>1614</v>
      </c>
      <c r="E1611" t="str">
        <f t="shared" si="1696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9"/>
        <v>SPS1</v>
      </c>
      <c r="C1612" t="str">
        <f t="shared" si="1690"/>
        <v>CH</v>
      </c>
      <c r="D1612" t="s">
        <v>1615</v>
      </c>
      <c r="E1612" t="str">
        <f t="shared" si="1696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8.733989824318476E-5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1.1936715291680499E-4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1.0978216358225116E-5</v>
      </c>
      <c r="N1612" s="1"/>
    </row>
    <row r="1613" spans="2:14" x14ac:dyDescent="0.35">
      <c r="B1613" t="str">
        <f t="shared" si="1689"/>
        <v>SPS1</v>
      </c>
      <c r="C1613" t="str">
        <f t="shared" si="1690"/>
        <v>CH</v>
      </c>
      <c r="D1613" t="s">
        <v>1616</v>
      </c>
      <c r="E1613" t="str">
        <f t="shared" si="1696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12.169153217537144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10.432156741078137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0.48569764079028982</v>
      </c>
      <c r="N1613" s="1"/>
    </row>
    <row r="1614" spans="2:14" x14ac:dyDescent="0.35">
      <c r="B1614" t="str">
        <f t="shared" si="1689"/>
        <v>SPS1</v>
      </c>
      <c r="C1614" t="str">
        <f t="shared" si="1690"/>
        <v>CH</v>
      </c>
      <c r="D1614" t="s">
        <v>1617</v>
      </c>
      <c r="E1614" t="str">
        <f t="shared" si="1696"/>
        <v>PJ/yr.</v>
      </c>
      <c r="F1614" s="1">
        <f>F1619</f>
        <v>6.2383729219880307E-2</v>
      </c>
      <c r="G1614" s="1">
        <f t="shared" ref="G1614:K1614" si="1713">G1619</f>
        <v>8.7254530546741395E-3</v>
      </c>
      <c r="H1614" s="1">
        <f t="shared" si="1713"/>
        <v>1.1536793103027073E-2</v>
      </c>
      <c r="I1614" s="1">
        <f t="shared" si="1713"/>
        <v>1.1078563771288238E-2</v>
      </c>
      <c r="J1614" s="1">
        <f t="shared" si="1713"/>
        <v>5.6076347817426674E-2</v>
      </c>
      <c r="K1614" s="1">
        <f t="shared" si="1713"/>
        <v>5.4767612825034215E-2</v>
      </c>
      <c r="L1614" s="1">
        <f t="shared" ref="L1614" si="1714">L1619</f>
        <v>2.8516081961371884E-3</v>
      </c>
      <c r="N1614" s="1"/>
    </row>
    <row r="1615" spans="2:14" x14ac:dyDescent="0.35">
      <c r="B1615" t="str">
        <f t="shared" si="1689"/>
        <v>SPS1</v>
      </c>
      <c r="C1615" t="str">
        <f t="shared" si="1690"/>
        <v>CH</v>
      </c>
      <c r="D1615" t="s">
        <v>1618</v>
      </c>
      <c r="E1615" t="str">
        <f t="shared" si="1696"/>
        <v>PJ/yr.</v>
      </c>
      <c r="F1615" s="1">
        <f>IF(F1614-F1616&lt;0,0,F1614-F1616)</f>
        <v>5.7675654212526489E-2</v>
      </c>
      <c r="G1615" s="1">
        <f t="shared" ref="G1615:L1615" si="1715">IF(G1614-G1616&lt;0,0,G1614-G1616)</f>
        <v>7.8902205838396848E-3</v>
      </c>
      <c r="H1615" s="1">
        <f t="shared" si="1715"/>
        <v>1.1419921151862182E-2</v>
      </c>
      <c r="I1615" s="1">
        <f t="shared" si="1715"/>
        <v>1.0842558178748034E-2</v>
      </c>
      <c r="J1615" s="1">
        <f t="shared" si="1715"/>
        <v>0</v>
      </c>
      <c r="K1615" s="1">
        <f t="shared" si="1715"/>
        <v>0</v>
      </c>
      <c r="L1615" s="1">
        <f t="shared" si="1715"/>
        <v>2.6740859605285578E-3</v>
      </c>
      <c r="N1615" s="1"/>
    </row>
    <row r="1616" spans="2:14" x14ac:dyDescent="0.35">
      <c r="B1616" t="str">
        <f t="shared" si="1689"/>
        <v>SPS1</v>
      </c>
      <c r="C1616" t="str">
        <f t="shared" si="1690"/>
        <v>CH</v>
      </c>
      <c r="D1616" t="s">
        <v>1619</v>
      </c>
      <c r="E1616" t="str">
        <f t="shared" si="1696"/>
        <v>PJ/yr.</v>
      </c>
      <c r="F1616" s="1">
        <f>SUM(F1617:F1618)</f>
        <v>4.7080750073538189E-3</v>
      </c>
      <c r="G1616" s="1">
        <f t="shared" ref="G1616:K1616" si="1716">SUM(G1617:G1618)</f>
        <v>8.3523247083445496E-4</v>
      </c>
      <c r="H1616" s="1">
        <f t="shared" si="1716"/>
        <v>1.1687195116489091E-4</v>
      </c>
      <c r="I1616" s="1">
        <f t="shared" si="1716"/>
        <v>2.3600559254020309E-4</v>
      </c>
      <c r="J1616" s="1">
        <f t="shared" si="1716"/>
        <v>5.609699074483171E-2</v>
      </c>
      <c r="K1616" s="1">
        <f t="shared" si="1716"/>
        <v>6.265284009977605E-2</v>
      </c>
      <c r="L1616" s="1">
        <f t="shared" ref="L1616" si="1717">SUM(L1617:L1618)</f>
        <v>1.7752223560863045E-4</v>
      </c>
      <c r="N1616" s="1"/>
    </row>
    <row r="1617" spans="2:14" x14ac:dyDescent="0.35">
      <c r="B1617" t="str">
        <f t="shared" si="1689"/>
        <v>SPS1</v>
      </c>
      <c r="C1617" t="str">
        <f t="shared" si="1690"/>
        <v>CH</v>
      </c>
      <c r="D1617" t="s">
        <v>1620</v>
      </c>
      <c r="E1617" t="str">
        <f t="shared" si="1696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2.0642927405035349E-5</v>
      </c>
      <c r="K1617" s="1">
        <f>[2]Transport!G$27/SUM([2]Transport!G$24,[2]Transport!G$27)*K1614*(K$47+K$614)/(K$47+K$614+K$49)</f>
        <v>7.8852272747418298E-3</v>
      </c>
      <c r="L1617" s="1">
        <f>[2]Transport!H$27/SUM([2]Transport!H$24,[2]Transport!H$27)*L1614*(L$47+L$614)/(L$47+L$614+L$49)</f>
        <v>1.3081021806352386E-5</v>
      </c>
      <c r="N1617" s="1"/>
    </row>
    <row r="1618" spans="2:14" x14ac:dyDescent="0.35">
      <c r="B1618" t="str">
        <f t="shared" si="1689"/>
        <v>SPS1</v>
      </c>
      <c r="C1618" t="str">
        <f t="shared" si="1690"/>
        <v>CH</v>
      </c>
      <c r="D1618" t="s">
        <v>1621</v>
      </c>
      <c r="E1618" t="str">
        <f t="shared" si="1696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5.6076347817426674E-2</v>
      </c>
      <c r="K1618" s="1">
        <f>IF((K$49+K$716)/([2]Transport!G$24+[2]Transport!G$27)*K1614&gt;K1614,K1614,(K$49+K$716)/([2]Transport!G$24+[2]Transport!G$27)*K1614)</f>
        <v>5.4767612825034215E-2</v>
      </c>
      <c r="L1618" s="1">
        <f>IF((L$49+L$716)/([2]Transport!H$24+[2]Transport!H$27)*L1614&gt;L1614,L1614,(L$49+L$716)/([2]Transport!H$24+[2]Transport!H$27)*L1614)</f>
        <v>1.6444121380227805E-4</v>
      </c>
      <c r="N1618" s="1"/>
    </row>
    <row r="1619" spans="2:14" x14ac:dyDescent="0.35">
      <c r="B1619" t="str">
        <f t="shared" si="1689"/>
        <v>SPS1</v>
      </c>
      <c r="C1619" t="str">
        <f t="shared" si="1690"/>
        <v>CH</v>
      </c>
      <c r="D1619" t="s">
        <v>1622</v>
      </c>
      <c r="E1619" t="str">
        <f t="shared" si="1696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5.6076347817426674E-2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5.4767612825034215E-2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2.8516081961371884E-3</v>
      </c>
      <c r="N1619" s="1"/>
    </row>
    <row r="1620" spans="2:14" x14ac:dyDescent="0.35">
      <c r="B1620" s="2" t="str">
        <f t="shared" si="1689"/>
        <v>SPS1</v>
      </c>
      <c r="C1620" s="2" t="str">
        <f t="shared" si="1690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18">SUM(G1621:G1629)</f>
        <v>2.2263462936958058</v>
      </c>
      <c r="H1620" s="3">
        <f t="shared" ref="H1620" si="1719">SUM(H1621:H1629)</f>
        <v>2.2583024919922239</v>
      </c>
      <c r="I1620" s="3">
        <f t="shared" ref="I1620" si="1720">SUM(I1621:I1629)</f>
        <v>2.3131917467553942</v>
      </c>
      <c r="J1620" s="3">
        <f t="shared" ref="J1620" si="1721">SUM(J1621:J1629)</f>
        <v>2.4458986255164357</v>
      </c>
      <c r="K1620" s="3">
        <f t="shared" ref="K1620:L1620" si="1722">SUM(K1621:K1629)</f>
        <v>2.5509840205672902</v>
      </c>
      <c r="L1620" s="3">
        <f t="shared" si="1722"/>
        <v>2.7620087319447153</v>
      </c>
      <c r="N1620" s="1"/>
    </row>
    <row r="1621" spans="2:14" x14ac:dyDescent="0.35">
      <c r="B1621" t="str">
        <f t="shared" si="1689"/>
        <v>SPS1</v>
      </c>
      <c r="C1621" t="str">
        <f t="shared" si="1690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9"/>
        <v>SPS1</v>
      </c>
      <c r="C1622" t="str">
        <f t="shared" si="1690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0.45015974431908395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0.83918005086764091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2.6822667809653393</v>
      </c>
      <c r="N1622" s="1"/>
    </row>
    <row r="1623" spans="2:14" x14ac:dyDescent="0.35">
      <c r="B1623" t="str">
        <f t="shared" si="1689"/>
        <v>SPS1</v>
      </c>
      <c r="C1623" t="str">
        <f t="shared" si="1690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0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0</v>
      </c>
      <c r="N1623" s="1"/>
    </row>
    <row r="1624" spans="2:14" x14ac:dyDescent="0.35">
      <c r="B1624" t="str">
        <f t="shared" si="1689"/>
        <v>SPS1</v>
      </c>
      <c r="C1624" t="str">
        <f t="shared" si="1690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9"/>
        <v>SPS1</v>
      </c>
      <c r="C1625" t="str">
        <f t="shared" si="1690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9"/>
        <v>SPS1</v>
      </c>
      <c r="C1626" t="str">
        <f t="shared" si="1690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9"/>
        <v>SPS1</v>
      </c>
      <c r="C1627" t="str">
        <f t="shared" si="1690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1.0367552917761495E-5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1.4169300622056411E-5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1.303152869718565E-6</v>
      </c>
      <c r="N1627" s="1"/>
    </row>
    <row r="1628" spans="2:14" x14ac:dyDescent="0.35">
      <c r="B1628" t="str">
        <f t="shared" si="1689"/>
        <v>SPS1</v>
      </c>
      <c r="C1628" t="str">
        <f t="shared" si="1690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1.989253169153929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1.705311823044017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7.9395464410810607E-2</v>
      </c>
      <c r="N1628" s="1"/>
    </row>
    <row r="1629" spans="2:14" x14ac:dyDescent="0.35">
      <c r="B1629" t="str">
        <f t="shared" si="1689"/>
        <v>SPS1</v>
      </c>
      <c r="C1629" t="str">
        <f t="shared" si="1690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6.4753444905048399E-3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6.4779773550100372E-3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3.4518341569593161E-4</v>
      </c>
      <c r="N1629" s="1"/>
    </row>
    <row r="1630" spans="2:14" x14ac:dyDescent="0.35">
      <c r="B1630" s="2" t="str">
        <f t="shared" si="1689"/>
        <v>SPS1</v>
      </c>
      <c r="C1630" s="2" t="str">
        <f t="shared" si="1690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9"/>
        <v>SPS1</v>
      </c>
      <c r="C1631" t="str">
        <f t="shared" si="1690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3">IFERROR(G1621/G1595,"-")</f>
        <v>-</v>
      </c>
      <c r="H1631" s="1" t="str">
        <f t="shared" si="1723"/>
        <v>-</v>
      </c>
      <c r="I1631" s="1" t="str">
        <f t="shared" si="1723"/>
        <v>-</v>
      </c>
      <c r="J1631" s="1" t="str">
        <f t="shared" si="1723"/>
        <v>-</v>
      </c>
      <c r="K1631" s="1" t="str">
        <f t="shared" si="1723"/>
        <v>-</v>
      </c>
      <c r="L1631" s="1" t="str">
        <f t="shared" ref="L1631" si="1724">IFERROR(L1621/L1595,"-")</f>
        <v>-</v>
      </c>
      <c r="N1631" s="1"/>
    </row>
    <row r="1632" spans="2:14" x14ac:dyDescent="0.35">
      <c r="B1632" t="str">
        <f t="shared" si="1689"/>
        <v>SPS1</v>
      </c>
      <c r="C1632" t="str">
        <f t="shared" si="1690"/>
        <v>CH</v>
      </c>
      <c r="D1632" t="s">
        <v>1635</v>
      </c>
      <c r="E1632" t="str">
        <f t="shared" ref="E1632:E1639" si="1725">E1631</f>
        <v>km/MJ</v>
      </c>
      <c r="F1632" s="1">
        <f>IFERROR(F1622/F1596,"-")</f>
        <v>0.26872776416540883</v>
      </c>
      <c r="G1632" s="1">
        <f t="shared" ref="G1632:K1632" si="1726">IFERROR(G1622/G1596,"-")</f>
        <v>0.27049214381222825</v>
      </c>
      <c r="H1632" s="1">
        <f t="shared" si="1726"/>
        <v>0.27124589915922231</v>
      </c>
      <c r="I1632" s="1">
        <f t="shared" si="1726"/>
        <v>0.27562649149476537</v>
      </c>
      <c r="J1632" s="1">
        <f t="shared" si="1726"/>
        <v>0.30493863516198783</v>
      </c>
      <c r="K1632" s="1">
        <f t="shared" si="1726"/>
        <v>0.31258948340338016</v>
      </c>
      <c r="L1632" s="1">
        <f t="shared" ref="L1632" si="1727">IFERROR(L1622/L1596,"-")</f>
        <v>0.33883601400241198</v>
      </c>
      <c r="N1632" s="1"/>
    </row>
    <row r="1633" spans="2:14" x14ac:dyDescent="0.35">
      <c r="B1633" t="str">
        <f t="shared" si="1689"/>
        <v>SPS1</v>
      </c>
      <c r="C1633" t="str">
        <f t="shared" si="1690"/>
        <v>CH</v>
      </c>
      <c r="D1633" t="s">
        <v>1636</v>
      </c>
      <c r="E1633" t="str">
        <f t="shared" si="1725"/>
        <v>km/MJ</v>
      </c>
      <c r="F1633" s="1">
        <f>IFERROR(F1623/F1598,"-")</f>
        <v>0.17445873125089911</v>
      </c>
      <c r="G1633" s="1">
        <f t="shared" ref="G1633:K1633" si="1728">IFERROR(G1623/G1598,"-")</f>
        <v>0.17511772984578772</v>
      </c>
      <c r="H1633" s="1">
        <f t="shared" si="1728"/>
        <v>0.17524789297377646</v>
      </c>
      <c r="I1633" s="1">
        <f t="shared" si="1728"/>
        <v>0.1798249417941421</v>
      </c>
      <c r="J1633" s="1" t="str">
        <f t="shared" si="1728"/>
        <v>-</v>
      </c>
      <c r="K1633" s="1" t="str">
        <f t="shared" si="1728"/>
        <v>-</v>
      </c>
      <c r="L1633" s="1" t="str">
        <f t="shared" ref="L1633" si="1729">IFERROR(L1623/L1598,"-")</f>
        <v>-</v>
      </c>
      <c r="N1633" s="1"/>
    </row>
    <row r="1634" spans="2:14" x14ac:dyDescent="0.35">
      <c r="B1634" t="str">
        <f t="shared" si="1689"/>
        <v>SPS1</v>
      </c>
      <c r="C1634" t="str">
        <f t="shared" si="1690"/>
        <v>CH</v>
      </c>
      <c r="D1634" t="s">
        <v>1637</v>
      </c>
      <c r="E1634" t="str">
        <f t="shared" si="1725"/>
        <v>km/MJ</v>
      </c>
      <c r="F1634" s="1" t="str">
        <f>IFERROR(F1624/F1604,"-")</f>
        <v>-</v>
      </c>
      <c r="G1634" s="1" t="str">
        <f t="shared" ref="G1634:K1634" si="1730">IFERROR(G1624/G1604,"-")</f>
        <v>-</v>
      </c>
      <c r="H1634" s="1" t="str">
        <f t="shared" si="1730"/>
        <v>-</v>
      </c>
      <c r="I1634" s="1" t="str">
        <f t="shared" si="1730"/>
        <v>-</v>
      </c>
      <c r="J1634" s="1" t="str">
        <f t="shared" si="1730"/>
        <v>-</v>
      </c>
      <c r="K1634" s="1" t="str">
        <f t="shared" si="1730"/>
        <v>-</v>
      </c>
      <c r="L1634" s="1" t="str">
        <f t="shared" ref="L1634" si="1731">IFERROR(L1624/L1604,"-")</f>
        <v>-</v>
      </c>
      <c r="N1634" s="1"/>
    </row>
    <row r="1635" spans="2:14" x14ac:dyDescent="0.35">
      <c r="B1635" t="str">
        <f t="shared" si="1689"/>
        <v>SPS1</v>
      </c>
      <c r="C1635" t="str">
        <f t="shared" si="1690"/>
        <v>CH</v>
      </c>
      <c r="D1635" t="s">
        <v>1638</v>
      </c>
      <c r="E1635" t="str">
        <f t="shared" si="1725"/>
        <v>km/MJ</v>
      </c>
      <c r="F1635" s="1" t="str">
        <f>IFERROR(F1625/F1605,"-")</f>
        <v>-</v>
      </c>
      <c r="G1635" s="1" t="str">
        <f t="shared" ref="G1635:K1635" si="1732">IFERROR(G1625/G1605,"-")</f>
        <v>-</v>
      </c>
      <c r="H1635" s="1" t="str">
        <f t="shared" si="1732"/>
        <v>-</v>
      </c>
      <c r="I1635" s="1" t="str">
        <f t="shared" si="1732"/>
        <v>-</v>
      </c>
      <c r="J1635" s="1" t="str">
        <f t="shared" si="1732"/>
        <v>-</v>
      </c>
      <c r="K1635" s="1" t="str">
        <f t="shared" si="1732"/>
        <v>-</v>
      </c>
      <c r="L1635" s="1" t="str">
        <f t="shared" ref="L1635" si="1733">IFERROR(L1625/L1605,"-")</f>
        <v>-</v>
      </c>
      <c r="N1635" s="1"/>
    </row>
    <row r="1636" spans="2:14" x14ac:dyDescent="0.35">
      <c r="B1636" t="str">
        <f t="shared" si="1689"/>
        <v>SPS1</v>
      </c>
      <c r="C1636" t="str">
        <f t="shared" si="1690"/>
        <v>CH</v>
      </c>
      <c r="D1636" t="s">
        <v>1639</v>
      </c>
      <c r="E1636" t="str">
        <f t="shared" si="1725"/>
        <v>km/MJ</v>
      </c>
      <c r="F1636" s="1">
        <f>IFERROR(F1626/F1611,"-")</f>
        <v>8.1953661871669831E-2</v>
      </c>
      <c r="G1636" s="1">
        <f t="shared" ref="G1636:K1636" si="1734">IFERROR(G1626/G1611,"-")</f>
        <v>8.3996210615660344E-2</v>
      </c>
      <c r="H1636" s="1">
        <f t="shared" si="1734"/>
        <v>8.7060033731646017E-2</v>
      </c>
      <c r="I1636" s="1">
        <f t="shared" si="1734"/>
        <v>8.7060033731645947E-2</v>
      </c>
      <c r="J1636" s="1" t="str">
        <f t="shared" si="1734"/>
        <v>-</v>
      </c>
      <c r="K1636" s="1" t="str">
        <f t="shared" si="1734"/>
        <v>-</v>
      </c>
      <c r="L1636" s="1" t="str">
        <f t="shared" ref="L1636" si="1735">IFERROR(L1626/L1611,"-")</f>
        <v>-</v>
      </c>
      <c r="N1636" s="1"/>
    </row>
    <row r="1637" spans="2:14" x14ac:dyDescent="0.35">
      <c r="B1637" t="str">
        <f t="shared" si="1689"/>
        <v>SPS1</v>
      </c>
      <c r="C1637" t="str">
        <f t="shared" si="1690"/>
        <v>CH</v>
      </c>
      <c r="D1637" t="s">
        <v>1640</v>
      </c>
      <c r="E1637" t="str">
        <f t="shared" si="1725"/>
        <v>km/MJ</v>
      </c>
      <c r="F1637" s="1">
        <f>IFERROR(F1627/F1612,"-")</f>
        <v>0.11870351496053511</v>
      </c>
      <c r="G1637" s="1">
        <f t="shared" ref="G1637:K1637" si="1736">IFERROR(G1627/G1612,"-")</f>
        <v>0.11870351496053481</v>
      </c>
      <c r="H1637" s="1">
        <f t="shared" si="1736"/>
        <v>0.11870351496053473</v>
      </c>
      <c r="I1637" s="1">
        <f t="shared" si="1736"/>
        <v>0.11870351496053493</v>
      </c>
      <c r="J1637" s="1">
        <f t="shared" si="1736"/>
        <v>0.11870351496053509</v>
      </c>
      <c r="K1637" s="1">
        <f t="shared" si="1736"/>
        <v>0.11870351496053484</v>
      </c>
      <c r="L1637" s="1">
        <f t="shared" ref="L1637" si="1737">IFERROR(L1627/L1612,"-")</f>
        <v>0.11870351496053499</v>
      </c>
      <c r="N1637" s="1"/>
    </row>
    <row r="1638" spans="2:14" x14ac:dyDescent="0.35">
      <c r="B1638" t="str">
        <f t="shared" si="1689"/>
        <v>SPS1</v>
      </c>
      <c r="C1638" t="str">
        <f t="shared" si="1690"/>
        <v>CH</v>
      </c>
      <c r="D1638" t="s">
        <v>1641</v>
      </c>
      <c r="E1638" t="str">
        <f t="shared" si="1725"/>
        <v>km/MJ</v>
      </c>
      <c r="F1638" s="1" t="str">
        <f>IFERROR(F1628/F1613,"-")</f>
        <v>-</v>
      </c>
      <c r="G1638" s="1">
        <f t="shared" ref="G1638:K1638" si="1738">IFERROR(G1628/G1613,"-")</f>
        <v>0.16346685209675788</v>
      </c>
      <c r="H1638" s="1">
        <f t="shared" si="1738"/>
        <v>0.16346685209675793</v>
      </c>
      <c r="I1638" s="1">
        <f t="shared" si="1738"/>
        <v>0.16346685209675799</v>
      </c>
      <c r="J1638" s="1">
        <f t="shared" si="1738"/>
        <v>0.16346685209675785</v>
      </c>
      <c r="K1638" s="1">
        <f t="shared" si="1738"/>
        <v>0.16346685209675801</v>
      </c>
      <c r="L1638" s="1">
        <f t="shared" ref="L1638" si="1739">IFERROR(L1628/L1613,"-")</f>
        <v>0.16346685209675801</v>
      </c>
      <c r="N1638" s="1"/>
    </row>
    <row r="1639" spans="2:14" x14ac:dyDescent="0.35">
      <c r="B1639" t="str">
        <f t="shared" si="1689"/>
        <v>SPS1</v>
      </c>
      <c r="C1639" t="str">
        <f t="shared" si="1690"/>
        <v>CH</v>
      </c>
      <c r="D1639" t="s">
        <v>1642</v>
      </c>
      <c r="E1639" t="str">
        <f t="shared" si="1725"/>
        <v>km/MJ</v>
      </c>
      <c r="F1639" s="1">
        <f>IFERROR(F1629/F1619,"-")</f>
        <v>0.10322365358776008</v>
      </c>
      <c r="G1639" s="1">
        <f t="shared" ref="G1639:K1639" si="1740">IFERROR(G1629/G1619,"-")</f>
        <v>0.1037308147801409</v>
      </c>
      <c r="H1639" s="1">
        <f t="shared" si="1740"/>
        <v>0.1040213157429177</v>
      </c>
      <c r="I1639" s="1">
        <f t="shared" si="1740"/>
        <v>0.10966259812560314</v>
      </c>
      <c r="J1639" s="1">
        <f t="shared" si="1740"/>
        <v>0.11547372007155782</v>
      </c>
      <c r="K1639" s="1">
        <f t="shared" si="1740"/>
        <v>0.11828117058351978</v>
      </c>
      <c r="L1639" s="1">
        <f t="shared" ref="L1639" si="1741">IFERROR(L1629/L1619,"-")</f>
        <v>0.12104868269193499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42">G1641+G1645+G1649+G1655</f>
        <v>27.887467054242045</v>
      </c>
      <c r="H1640" s="1">
        <f t="shared" si="1742"/>
        <v>27.078599531862558</v>
      </c>
      <c r="I1640" s="1">
        <f t="shared" si="1742"/>
        <v>26.84665294199371</v>
      </c>
      <c r="J1640" s="1">
        <f t="shared" si="1742"/>
        <v>28.093500069418553</v>
      </c>
      <c r="K1640" s="1">
        <f t="shared" si="1742"/>
        <v>23.993555805629612</v>
      </c>
      <c r="L1640" s="1">
        <f t="shared" ref="L1640" si="1743">L1641+L1645+L1649+L1655</f>
        <v>21.720710659659613</v>
      </c>
      <c r="N1640" s="1"/>
    </row>
    <row r="1641" spans="2:14" x14ac:dyDescent="0.35">
      <c r="B1641" t="str">
        <f t="shared" ref="B1641:B1662" si="1744">B1640</f>
        <v>SPS1</v>
      </c>
      <c r="C1641" t="str">
        <f t="shared" ref="C1641:C1687" si="1745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46">SUM(G1642:G1644)</f>
        <v>9.5324995575334892</v>
      </c>
      <c r="H1641" s="1">
        <f t="shared" si="1746"/>
        <v>10.023162689160086</v>
      </c>
      <c r="I1641" s="1">
        <f t="shared" si="1746"/>
        <v>10.675131508743432</v>
      </c>
      <c r="J1641" s="1">
        <f t="shared" si="1746"/>
        <v>11.922507136908436</v>
      </c>
      <c r="K1641" s="1">
        <f t="shared" si="1746"/>
        <v>16.29203144890424</v>
      </c>
      <c r="L1641" s="1">
        <f t="shared" ref="L1641" si="1747">SUM(L1642:L1644)</f>
        <v>19.673804916758254</v>
      </c>
      <c r="N1641" s="1"/>
    </row>
    <row r="1642" spans="2:14" x14ac:dyDescent="0.35">
      <c r="B1642" t="str">
        <f t="shared" si="1744"/>
        <v>SPS1</v>
      </c>
      <c r="C1642" t="str">
        <f t="shared" si="1745"/>
        <v>CH</v>
      </c>
      <c r="D1642" t="s">
        <v>1653</v>
      </c>
      <c r="E1642" t="str">
        <f t="shared" ref="E1642:E1644" si="1748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9.8719623621199712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10.472814391465896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11.438846441619521</v>
      </c>
      <c r="N1642" s="1"/>
    </row>
    <row r="1643" spans="2:14" x14ac:dyDescent="0.35">
      <c r="B1643" t="str">
        <f t="shared" si="1744"/>
        <v>SPS1</v>
      </c>
      <c r="C1643" t="str">
        <f t="shared" si="1745"/>
        <v>CH</v>
      </c>
      <c r="D1643" t="s">
        <v>1654</v>
      </c>
      <c r="E1643" t="str">
        <f t="shared" si="1748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1.9815127546457323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2.0283329398891414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2.1805406965584213</v>
      </c>
      <c r="N1643" s="1"/>
    </row>
    <row r="1644" spans="2:14" x14ac:dyDescent="0.35">
      <c r="B1644" t="str">
        <f t="shared" si="1744"/>
        <v>SPS1</v>
      </c>
      <c r="C1644" t="str">
        <f t="shared" si="1745"/>
        <v>CH</v>
      </c>
      <c r="D1644" t="s">
        <v>1655</v>
      </c>
      <c r="E1644" t="str">
        <f t="shared" si="1748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6.9032020142732617E-2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3.7908841175492007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6.0544177785803113</v>
      </c>
      <c r="N1644" s="1"/>
    </row>
    <row r="1645" spans="2:14" x14ac:dyDescent="0.35">
      <c r="B1645" t="str">
        <f t="shared" si="1744"/>
        <v>SPS1</v>
      </c>
      <c r="C1645" t="str">
        <f t="shared" si="1745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9">SUM(G1646:G1648)</f>
        <v>0</v>
      </c>
      <c r="H1645" s="1">
        <f t="shared" si="1749"/>
        <v>0</v>
      </c>
      <c r="I1645" s="1">
        <f t="shared" si="1749"/>
        <v>0</v>
      </c>
      <c r="J1645" s="1">
        <f t="shared" si="1749"/>
        <v>7.0570410541240433E-6</v>
      </c>
      <c r="K1645" s="1">
        <f t="shared" si="1749"/>
        <v>7.3148617892856672E-6</v>
      </c>
      <c r="L1645" s="1">
        <f t="shared" ref="L1645" si="1750">SUM(L1646:L1648)</f>
        <v>4.0028427663097036E-3</v>
      </c>
      <c r="N1645" s="1"/>
    </row>
    <row r="1646" spans="2:14" x14ac:dyDescent="0.35">
      <c r="B1646" t="str">
        <f t="shared" si="1744"/>
        <v>SPS1</v>
      </c>
      <c r="C1646" t="str">
        <f t="shared" si="1745"/>
        <v>CH</v>
      </c>
      <c r="D1646" t="s">
        <v>1657</v>
      </c>
      <c r="E1646" t="str">
        <f t="shared" ref="E1646:E1648" si="1751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1.3873027342474267E-5</v>
      </c>
      <c r="N1646" s="1"/>
    </row>
    <row r="1647" spans="2:14" x14ac:dyDescent="0.35">
      <c r="B1647" t="str">
        <f t="shared" si="1744"/>
        <v>SPS1</v>
      </c>
      <c r="C1647" t="str">
        <f t="shared" si="1745"/>
        <v>CH</v>
      </c>
      <c r="D1647" t="s">
        <v>1658</v>
      </c>
      <c r="E1647" t="str">
        <f t="shared" si="1751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4"/>
        <v>SPS1</v>
      </c>
      <c r="C1648" t="str">
        <f t="shared" si="1745"/>
        <v>CH</v>
      </c>
      <c r="D1648" t="s">
        <v>1659</v>
      </c>
      <c r="E1648" t="str">
        <f t="shared" si="1751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7.0570410541240433E-6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7.3148617892856672E-6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3.9889697389672296E-3</v>
      </c>
      <c r="N1648" s="1"/>
    </row>
    <row r="1649" spans="2:14" x14ac:dyDescent="0.35">
      <c r="B1649" t="str">
        <f t="shared" si="1744"/>
        <v>SPS1</v>
      </c>
      <c r="C1649" t="str">
        <f t="shared" si="1745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2">G1654</f>
        <v>0.69717588746708692</v>
      </c>
      <c r="H1649" s="1">
        <f t="shared" si="1752"/>
        <v>1.7205344533923513E-4</v>
      </c>
      <c r="I1649" s="1">
        <f t="shared" si="1752"/>
        <v>4.9475333028668996E-5</v>
      </c>
      <c r="J1649" s="1">
        <f t="shared" si="1752"/>
        <v>1.4737522167157255E-4</v>
      </c>
      <c r="K1649" s="1">
        <f t="shared" si="1752"/>
        <v>5.2892648732001435E-5</v>
      </c>
      <c r="L1649" s="1">
        <f t="shared" ref="L1649" si="1753">L1654</f>
        <v>0</v>
      </c>
      <c r="N1649" s="1"/>
    </row>
    <row r="1650" spans="2:14" x14ac:dyDescent="0.35">
      <c r="B1650" t="str">
        <f t="shared" si="1744"/>
        <v>SPS1</v>
      </c>
      <c r="C1650" t="str">
        <f t="shared" si="1745"/>
        <v>CH</v>
      </c>
      <c r="D1650" t="s">
        <v>1661</v>
      </c>
      <c r="E1650" t="str">
        <f t="shared" ref="E1650:E1662" si="1754">E1649</f>
        <v>PJ/yr.</v>
      </c>
      <c r="F1650" s="1">
        <f>F1649-F1651</f>
        <v>1.6634734026693114</v>
      </c>
      <c r="G1650" s="1">
        <f t="shared" ref="G1650:K1650" si="1755">G1649-G1651</f>
        <v>0.65900819833804125</v>
      </c>
      <c r="H1650" s="1">
        <f t="shared" si="1755"/>
        <v>1.6263511701775909E-4</v>
      </c>
      <c r="I1650" s="1">
        <f t="shared" si="1755"/>
        <v>4.6766621288620701E-5</v>
      </c>
      <c r="J1650" s="1">
        <f t="shared" si="1755"/>
        <v>1.3264602910615815E-4</v>
      </c>
      <c r="K1650" s="1">
        <f t="shared" si="1755"/>
        <v>4.9996192095024011E-5</v>
      </c>
      <c r="L1650" s="1">
        <f t="shared" ref="L1650" si="1756">L1649-L1651</f>
        <v>0</v>
      </c>
      <c r="N1650" s="1"/>
    </row>
    <row r="1651" spans="2:14" x14ac:dyDescent="0.35">
      <c r="B1651" t="str">
        <f t="shared" si="1744"/>
        <v>SPS1</v>
      </c>
      <c r="C1651" t="str">
        <f t="shared" si="1745"/>
        <v>CH</v>
      </c>
      <c r="D1651" t="s">
        <v>1662</v>
      </c>
      <c r="E1651" t="str">
        <f t="shared" si="1754"/>
        <v>PJ/yr.</v>
      </c>
      <c r="F1651" s="1">
        <f>SUM(F1652:F1653)</f>
        <v>9.6334361059046511E-2</v>
      </c>
      <c r="G1651" s="1">
        <f t="shared" ref="G1651:K1651" si="1757">SUM(G1652:G1653)</f>
        <v>3.8167689129045689E-2</v>
      </c>
      <c r="H1651" s="1">
        <f t="shared" si="1757"/>
        <v>9.4183283214760467E-6</v>
      </c>
      <c r="I1651" s="1">
        <f t="shared" si="1757"/>
        <v>2.7087117400482981E-6</v>
      </c>
      <c r="J1651" s="1">
        <f t="shared" si="1757"/>
        <v>1.4729192565414399E-5</v>
      </c>
      <c r="K1651" s="1">
        <f t="shared" si="1757"/>
        <v>2.8964566369774277E-6</v>
      </c>
      <c r="L1651" s="1">
        <f t="shared" ref="L1651" si="1758">SUM(L1652:L1653)</f>
        <v>0</v>
      </c>
      <c r="N1651" s="1"/>
    </row>
    <row r="1652" spans="2:14" x14ac:dyDescent="0.35">
      <c r="B1652" t="str">
        <f t="shared" si="1744"/>
        <v>SPS1</v>
      </c>
      <c r="C1652" t="str">
        <f t="shared" si="1745"/>
        <v>CH</v>
      </c>
      <c r="D1652" t="s">
        <v>1663</v>
      </c>
      <c r="E1652" t="str">
        <f t="shared" si="1754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1.4729192565414399E-5</v>
      </c>
      <c r="K1652" s="1">
        <f>[2]Transport!G$25/SUM([2]Transport!G$21,[2]Transport!G$25)*K1649*(K$35+K$600)/(K$35+K$600+K$39)</f>
        <v>2.8961966016738204E-6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4"/>
        <v>SPS1</v>
      </c>
      <c r="C1653" t="str">
        <f t="shared" si="1745"/>
        <v>CH</v>
      </c>
      <c r="D1653" t="s">
        <v>1664</v>
      </c>
      <c r="E1653" t="str">
        <f t="shared" si="1754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2.6003530360721881E-10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4"/>
        <v>SPS1</v>
      </c>
      <c r="C1654" t="str">
        <f t="shared" si="1745"/>
        <v>CH</v>
      </c>
      <c r="D1654" t="s">
        <v>1665</v>
      </c>
      <c r="E1654" t="str">
        <f t="shared" si="1754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1.4737522167157255E-4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5.2892648732001435E-5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4"/>
        <v>SPS1</v>
      </c>
      <c r="C1655" t="str">
        <f t="shared" si="1745"/>
        <v>CH</v>
      </c>
      <c r="D1655" t="s">
        <v>1666</v>
      </c>
      <c r="E1655" t="str">
        <f t="shared" si="1754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16.170838500247392</v>
      </c>
      <c r="K1655" s="1">
        <f>[2]TRA_FuelByFleet!K$99</f>
        <v>7.7014641492148508</v>
      </c>
      <c r="L1655" s="1">
        <f>[2]TRA_FuelByFleet!L$99</f>
        <v>2.0429029001350507</v>
      </c>
      <c r="N1655" s="1"/>
    </row>
    <row r="1656" spans="2:14" x14ac:dyDescent="0.35">
      <c r="B1656" t="str">
        <f t="shared" si="1744"/>
        <v>SPS1</v>
      </c>
      <c r="C1656" t="str">
        <f t="shared" si="1745"/>
        <v>CH</v>
      </c>
      <c r="D1656" t="s">
        <v>1667</v>
      </c>
      <c r="E1656" t="str">
        <f t="shared" si="1754"/>
        <v>PJ/yr.</v>
      </c>
      <c r="F1656" s="1">
        <f>F1655-F1657</f>
        <v>17.333419544664846</v>
      </c>
      <c r="G1656" s="1">
        <f t="shared" ref="G1656:K1656" si="1759">G1655-G1657</f>
        <v>17.197553504611587</v>
      </c>
      <c r="H1656" s="1">
        <f t="shared" si="1759"/>
        <v>16.289945084885254</v>
      </c>
      <c r="I1656" s="1">
        <f t="shared" si="1759"/>
        <v>15.446809672870115</v>
      </c>
      <c r="J1656" s="1">
        <f t="shared" si="1759"/>
        <v>15.036028298517591</v>
      </c>
      <c r="K1656" s="1">
        <f t="shared" si="1759"/>
        <v>6.741864590198329</v>
      </c>
      <c r="L1656" s="1">
        <f t="shared" ref="L1656" si="1760">L1655-L1657</f>
        <v>3.9605157108708156E-2</v>
      </c>
      <c r="N1656" s="1"/>
    </row>
    <row r="1657" spans="2:14" x14ac:dyDescent="0.35">
      <c r="B1657" t="str">
        <f t="shared" si="1744"/>
        <v>SPS1</v>
      </c>
      <c r="C1657" t="str">
        <f t="shared" si="1745"/>
        <v>CH</v>
      </c>
      <c r="D1657" t="s">
        <v>1668</v>
      </c>
      <c r="E1657" t="str">
        <f t="shared" si="1754"/>
        <v>PJ/yr.</v>
      </c>
      <c r="F1657" s="1">
        <f>SUM(F1658:F1659)</f>
        <v>0.44306863627646159</v>
      </c>
      <c r="G1657" s="1">
        <f t="shared" ref="G1657:K1657" si="1761">SUM(G1658:G1659)</f>
        <v>0.46023810462988474</v>
      </c>
      <c r="H1657" s="1">
        <f t="shared" si="1761"/>
        <v>0.76531970437187891</v>
      </c>
      <c r="I1657" s="1">
        <f t="shared" si="1761"/>
        <v>0.72466228504713248</v>
      </c>
      <c r="J1657" s="1">
        <f t="shared" si="1761"/>
        <v>1.1348102017298014</v>
      </c>
      <c r="K1657" s="1">
        <f t="shared" si="1761"/>
        <v>0.95959955901652216</v>
      </c>
      <c r="L1657" s="1">
        <f t="shared" ref="L1657" si="1762">SUM(L1658:L1659)</f>
        <v>2.0032977430263426</v>
      </c>
      <c r="N1657" s="1"/>
    </row>
    <row r="1658" spans="2:14" x14ac:dyDescent="0.35">
      <c r="B1658" t="str">
        <f t="shared" si="1744"/>
        <v>SPS1</v>
      </c>
      <c r="C1658" t="str">
        <f t="shared" si="1745"/>
        <v>CH</v>
      </c>
      <c r="D1658" t="s">
        <v>1669</v>
      </c>
      <c r="E1658" t="str">
        <f t="shared" si="1754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1.1348102017298014</v>
      </c>
      <c r="K1658" s="1">
        <f>[2]Transport!G$26/SUM([2]Transport!G$22,[2]Transport!G$26)*K1655*(K$34+K$582)/(K$34+K$582+K$38)</f>
        <v>0.95959955901652216</v>
      </c>
      <c r="L1658" s="1">
        <f>[2]Transport!H$26/SUM([2]Transport!H$22,[2]Transport!H$26)*L1655*(L$34+L$582)/(L$34+L$582+L$38)</f>
        <v>1.7180816951582465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0.28521604786809607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4"/>
        <v>SPS1</v>
      </c>
      <c r="C1661" t="str">
        <f t="shared" si="1745"/>
        <v>CH</v>
      </c>
      <c r="D1661" t="s">
        <v>1672</v>
      </c>
      <c r="E1661" t="str">
        <f t="shared" si="1754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4"/>
        <v>SPS1</v>
      </c>
      <c r="C1662" t="str">
        <f t="shared" si="1745"/>
        <v>CH</v>
      </c>
      <c r="D1662" t="s">
        <v>1673</v>
      </c>
      <c r="E1662" t="str">
        <f t="shared" si="1754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16.170838500247392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7.7014641492148508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2.0429029001350507</v>
      </c>
      <c r="N1662" s="1"/>
    </row>
    <row r="1663" spans="2:14" x14ac:dyDescent="0.35">
      <c r="B1663" t="str">
        <f t="shared" ref="B1663:C1665" si="1763">B1657</f>
        <v>SPS1</v>
      </c>
      <c r="C1663" t="str">
        <f t="shared" si="1763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70.677257707018555</v>
      </c>
      <c r="K1663" s="1">
        <f>IF([2]Transport!G$23+[2]Transport_Aviation_Intl!G$11&lt;0,0,[2]Transport!G$23+[2]Transport_Aviation_Intl!G$11)</f>
        <v>54.630210033686211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63"/>
        <v>SPS1</v>
      </c>
      <c r="C1664" t="str">
        <f t="shared" si="1763"/>
        <v>CH</v>
      </c>
      <c r="D1664" t="s">
        <v>2480</v>
      </c>
      <c r="E1664" t="str">
        <f>E1658</f>
        <v>PJ/yr.</v>
      </c>
      <c r="F1664" s="1">
        <f t="shared" ref="F1664:K1664" si="1764">F36</f>
        <v>1.5598627499279101E-3</v>
      </c>
      <c r="G1664" s="1">
        <f t="shared" si="1764"/>
        <v>8.6437936975150299E-5</v>
      </c>
      <c r="H1664" s="1">
        <f t="shared" si="1764"/>
        <v>1.04857134470043E-3</v>
      </c>
      <c r="I1664" s="1">
        <f t="shared" si="1764"/>
        <v>5.0162523841764157</v>
      </c>
      <c r="J1664" s="1">
        <f t="shared" si="1764"/>
        <v>5.0162523841764157</v>
      </c>
      <c r="K1664" s="1">
        <f t="shared" si="1764"/>
        <v>17.032161450509847</v>
      </c>
      <c r="L1664" s="1">
        <f t="shared" ref="L1664" si="1765">L36</f>
        <v>30.628525847532384</v>
      </c>
      <c r="N1664" s="1"/>
    </row>
    <row r="1665" spans="2:14" x14ac:dyDescent="0.35">
      <c r="B1665" t="str">
        <f t="shared" si="1763"/>
        <v>SPS1</v>
      </c>
      <c r="C1665" t="str">
        <f t="shared" si="1763"/>
        <v>CH</v>
      </c>
      <c r="D1665" t="s">
        <v>2481</v>
      </c>
      <c r="E1665" t="str">
        <f>E1659</f>
        <v>PJ/yr.</v>
      </c>
      <c r="F1665" s="1">
        <f t="shared" ref="F1665:K1665" si="1766">F40</f>
        <v>0</v>
      </c>
      <c r="G1665" s="1">
        <f t="shared" si="1766"/>
        <v>0</v>
      </c>
      <c r="H1665" s="1">
        <f t="shared" si="1766"/>
        <v>0</v>
      </c>
      <c r="I1665" s="1">
        <f t="shared" si="1766"/>
        <v>0</v>
      </c>
      <c r="J1665" s="1">
        <f t="shared" si="1766"/>
        <v>12.015909066333432</v>
      </c>
      <c r="K1665" s="1">
        <f t="shared" si="1766"/>
        <v>13.596364397022537</v>
      </c>
      <c r="L1665" s="1">
        <f t="shared" ref="L1665" si="1767">L40</f>
        <v>49.874149649800586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8">B1666</f>
        <v>SPS1</v>
      </c>
      <c r="C1667" t="str">
        <f t="shared" si="1745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0.24931030862351192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0.26429322488511714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0.28825438812000592</v>
      </c>
      <c r="N1667" s="1"/>
    </row>
    <row r="1668" spans="2:14" x14ac:dyDescent="0.35">
      <c r="B1668" t="str">
        <f t="shared" si="1768"/>
        <v>SPS1</v>
      </c>
      <c r="C1668" t="str">
        <f t="shared" si="1745"/>
        <v>CH</v>
      </c>
      <c r="D1668" t="s">
        <v>1676</v>
      </c>
      <c r="E1668" t="str">
        <f t="shared" ref="E1668:E1671" si="1769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3.3099252896756956E-2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3.3881338779581181E-2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3.6423822051027635E-2</v>
      </c>
      <c r="N1668" s="1"/>
    </row>
    <row r="1669" spans="2:14" x14ac:dyDescent="0.35">
      <c r="B1669" t="str">
        <f t="shared" si="1768"/>
        <v>SPS1</v>
      </c>
      <c r="C1669" t="str">
        <f t="shared" si="1745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0.17029181762798401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8.5403968808211292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14.125419874800199</v>
      </c>
      <c r="N1669" s="1"/>
    </row>
    <row r="1670" spans="2:14" x14ac:dyDescent="0.35">
      <c r="B1670" t="str">
        <f t="shared" si="1768"/>
        <v>SPS1</v>
      </c>
      <c r="C1670" t="str">
        <f t="shared" si="1745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2.6802796174261333E-7</v>
      </c>
      <c r="N1670" s="1"/>
    </row>
    <row r="1671" spans="2:14" x14ac:dyDescent="0.35">
      <c r="B1671" t="str">
        <f t="shared" si="1768"/>
        <v>SPS1</v>
      </c>
      <c r="C1671" t="str">
        <f t="shared" si="1745"/>
        <v>CH</v>
      </c>
      <c r="D1671" t="s">
        <v>1679</v>
      </c>
      <c r="E1671" t="str">
        <f t="shared" si="1769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8"/>
        <v>SPS1</v>
      </c>
      <c r="C1672" t="str">
        <f t="shared" si="1745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1.26566497166355E-5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1.31190456003494E-5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7.1541305101043198E-3</v>
      </c>
      <c r="N1672" s="1"/>
    </row>
    <row r="1673" spans="2:14" x14ac:dyDescent="0.35">
      <c r="B1673" t="str">
        <f t="shared" si="1768"/>
        <v>SPS1</v>
      </c>
      <c r="C1673" t="str">
        <f t="shared" si="1745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1.3358270907744201E-4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4.7942545753368898E-5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8"/>
        <v>SPS1</v>
      </c>
      <c r="C1674" t="str">
        <f t="shared" si="1745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8"/>
        <v>SPS1</v>
      </c>
      <c r="C1675" t="str">
        <f t="shared" si="1745"/>
        <v>CH</v>
      </c>
      <c r="D1675" t="s">
        <v>1683</v>
      </c>
      <c r="E1675" t="str">
        <f t="shared" ref="E1675" si="1770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8"/>
        <v>SPS1</v>
      </c>
      <c r="C1676" t="str">
        <f t="shared" si="1745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15.981151009500801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7.6111242815872897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2.0189391999868098</v>
      </c>
      <c r="N1676" s="1"/>
    </row>
    <row r="1677" spans="2:14" x14ac:dyDescent="0.35">
      <c r="B1677" s="2" t="str">
        <f t="shared" si="1768"/>
        <v>SPS1</v>
      </c>
      <c r="C1677" s="2" t="str">
        <f t="shared" si="1745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8"/>
        <v>SPS1</v>
      </c>
      <c r="C1678" t="str">
        <f t="shared" si="1745"/>
        <v>CH</v>
      </c>
      <c r="D1678" t="s">
        <v>1686</v>
      </c>
      <c r="E1678" t="s">
        <v>1229</v>
      </c>
      <c r="F1678" s="7">
        <f t="shared" ref="F1678:K1680" si="1771">IFERROR(F1667/F1642,"-")</f>
        <v>2.5309161094553195E-2</v>
      </c>
      <c r="G1678" s="7">
        <f t="shared" si="1771"/>
        <v>2.5301857215832019E-2</v>
      </c>
      <c r="H1678" s="7">
        <f t="shared" si="1771"/>
        <v>2.5290901397750198E-2</v>
      </c>
      <c r="I1678" s="7">
        <f t="shared" si="1771"/>
        <v>2.5272641700947188E-2</v>
      </c>
      <c r="J1678" s="7">
        <f t="shared" si="1771"/>
        <v>2.5254382004144246E-2</v>
      </c>
      <c r="K1678" s="7">
        <f t="shared" si="1771"/>
        <v>2.5236122307341267E-2</v>
      </c>
      <c r="L1678" s="7">
        <f t="shared" ref="L1678" si="1772">IFERROR(L1667/L1642,"-")</f>
        <v>2.5199602913735297E-2</v>
      </c>
      <c r="N1678" s="1"/>
    </row>
    <row r="1679" spans="2:14" x14ac:dyDescent="0.35">
      <c r="B1679" t="str">
        <f t="shared" si="1768"/>
        <v>SPS1</v>
      </c>
      <c r="C1679" t="str">
        <f t="shared" si="1745"/>
        <v>CH</v>
      </c>
      <c r="D1679" t="s">
        <v>1687</v>
      </c>
      <c r="E1679" t="s">
        <v>1229</v>
      </c>
      <c r="F1679" s="7">
        <f t="shared" si="1771"/>
        <v>1.6704032219401296E-2</v>
      </c>
      <c r="G1679" s="7">
        <f t="shared" si="1771"/>
        <v>1.670403221940131E-2</v>
      </c>
      <c r="H1679" s="7">
        <f t="shared" si="1771"/>
        <v>1.6704032219401279E-2</v>
      </c>
      <c r="I1679" s="7">
        <f t="shared" si="1771"/>
        <v>1.6704032219401307E-2</v>
      </c>
      <c r="J1679" s="7">
        <f t="shared" si="1771"/>
        <v>1.670403221940131E-2</v>
      </c>
      <c r="K1679" s="7">
        <f t="shared" si="1771"/>
        <v>1.67040322194013E-2</v>
      </c>
      <c r="L1679" s="7">
        <f t="shared" ref="L1679" si="1773">IFERROR(L1668/L1643,"-")</f>
        <v>1.6704032219401307E-2</v>
      </c>
      <c r="N1679" s="1"/>
    </row>
    <row r="1680" spans="2:14" x14ac:dyDescent="0.35">
      <c r="B1680" t="str">
        <f t="shared" si="1768"/>
        <v>SPS1</v>
      </c>
      <c r="C1680" t="str">
        <f t="shared" si="1745"/>
        <v>CH</v>
      </c>
      <c r="D1680" t="s">
        <v>1688</v>
      </c>
      <c r="E1680" t="s">
        <v>240</v>
      </c>
      <c r="F1680" t="str">
        <f t="shared" si="1771"/>
        <v>-</v>
      </c>
      <c r="G1680">
        <f t="shared" si="1771"/>
        <v>2.4673913043478275</v>
      </c>
      <c r="H1680">
        <f t="shared" si="1771"/>
        <v>2.4673913043478235</v>
      </c>
      <c r="I1680">
        <f t="shared" si="1771"/>
        <v>2.4673913043478342</v>
      </c>
      <c r="J1680">
        <f t="shared" si="1771"/>
        <v>2.4668525892170572</v>
      </c>
      <c r="K1680">
        <f t="shared" si="1771"/>
        <v>2.2528773278204239</v>
      </c>
      <c r="L1680">
        <f t="shared" ref="L1680" si="1774">IFERROR(L1669/L1644,"-")</f>
        <v>2.3330765056838283</v>
      </c>
      <c r="N1680" s="1"/>
    </row>
    <row r="1681" spans="2:14" x14ac:dyDescent="0.35">
      <c r="B1681" t="str">
        <f t="shared" si="1768"/>
        <v>SPS1</v>
      </c>
      <c r="C1681" t="str">
        <f t="shared" si="1745"/>
        <v>CH</v>
      </c>
      <c r="D1681" t="s">
        <v>1689</v>
      </c>
      <c r="E1681" t="s">
        <v>1229</v>
      </c>
      <c r="F1681" t="str">
        <f t="shared" ref="F1681:K1683" si="1775">IFERROR(F1670/F1646,"-")</f>
        <v>-</v>
      </c>
      <c r="G1681" t="str">
        <f t="shared" si="1775"/>
        <v>-</v>
      </c>
      <c r="H1681" t="str">
        <f t="shared" si="1775"/>
        <v>-</v>
      </c>
      <c r="I1681" t="str">
        <f t="shared" si="1775"/>
        <v>-</v>
      </c>
      <c r="J1681" t="str">
        <f t="shared" si="1775"/>
        <v>-</v>
      </c>
      <c r="K1681" t="str">
        <f t="shared" si="1775"/>
        <v>-</v>
      </c>
      <c r="L1681">
        <f t="shared" ref="L1681" si="1776">IFERROR(L1670/L1646,"-")</f>
        <v>1.9320077379362414E-2</v>
      </c>
      <c r="N1681" s="1"/>
    </row>
    <row r="1682" spans="2:14" x14ac:dyDescent="0.35">
      <c r="B1682" t="str">
        <f t="shared" si="1768"/>
        <v>SPS1</v>
      </c>
      <c r="C1682" t="str">
        <f t="shared" si="1745"/>
        <v>CH</v>
      </c>
      <c r="D1682" t="s">
        <v>1690</v>
      </c>
      <c r="E1682" t="s">
        <v>1229</v>
      </c>
      <c r="F1682" t="str">
        <f t="shared" si="1775"/>
        <v>-</v>
      </c>
      <c r="G1682" t="str">
        <f t="shared" si="1775"/>
        <v>-</v>
      </c>
      <c r="H1682" t="str">
        <f t="shared" si="1775"/>
        <v>-</v>
      </c>
      <c r="I1682" t="str">
        <f t="shared" si="1775"/>
        <v>-</v>
      </c>
      <c r="J1682" t="str">
        <f t="shared" si="1775"/>
        <v>-</v>
      </c>
      <c r="K1682" t="str">
        <f t="shared" si="1775"/>
        <v>-</v>
      </c>
      <c r="L1682" t="str">
        <f t="shared" ref="L1682" si="1777">IFERROR(L1671/L1647,"-")</f>
        <v>-</v>
      </c>
      <c r="N1682" s="1"/>
    </row>
    <row r="1683" spans="2:14" x14ac:dyDescent="0.35">
      <c r="B1683" t="str">
        <f t="shared" si="1768"/>
        <v>SPS1</v>
      </c>
      <c r="C1683" t="str">
        <f t="shared" si="1745"/>
        <v>CH</v>
      </c>
      <c r="D1683" t="s">
        <v>1691</v>
      </c>
      <c r="E1683" t="s">
        <v>240</v>
      </c>
      <c r="F1683" t="str">
        <f t="shared" si="1775"/>
        <v>-</v>
      </c>
      <c r="G1683" t="str">
        <f t="shared" si="1775"/>
        <v>-</v>
      </c>
      <c r="H1683" t="str">
        <f t="shared" si="1775"/>
        <v>-</v>
      </c>
      <c r="I1683" t="str">
        <f t="shared" si="1775"/>
        <v>-</v>
      </c>
      <c r="J1683">
        <f t="shared" si="1775"/>
        <v>1.7934782608695634</v>
      </c>
      <c r="K1683">
        <f t="shared" si="1775"/>
        <v>1.7934782608695796</v>
      </c>
      <c r="L1683">
        <f t="shared" ref="L1683" si="1778">IFERROR(L1672/L1648,"-")</f>
        <v>1.7934782608695776</v>
      </c>
      <c r="N1683" s="1"/>
    </row>
    <row r="1684" spans="2:14" x14ac:dyDescent="0.35">
      <c r="B1684" t="str">
        <f t="shared" si="1768"/>
        <v>SPS1</v>
      </c>
      <c r="C1684" t="str">
        <f t="shared" si="1745"/>
        <v>CH</v>
      </c>
      <c r="D1684" t="s">
        <v>1692</v>
      </c>
      <c r="E1684" t="s">
        <v>240</v>
      </c>
      <c r="F1684" s="4">
        <f t="shared" ref="F1684:K1684" si="1779">IFERROR(F1673/F1654,"-")</f>
        <v>0.90641226905247907</v>
      </c>
      <c r="G1684" s="4">
        <f t="shared" si="1779"/>
        <v>0.90641226905247463</v>
      </c>
      <c r="H1684" s="4">
        <f t="shared" si="1779"/>
        <v>0.90641226905247452</v>
      </c>
      <c r="I1684" s="4">
        <f t="shared" si="1779"/>
        <v>0.90641226905247851</v>
      </c>
      <c r="J1684" s="4">
        <f t="shared" si="1779"/>
        <v>0.90641226905247796</v>
      </c>
      <c r="K1684" s="4">
        <f t="shared" si="1779"/>
        <v>0.9064122690524743</v>
      </c>
      <c r="L1684" s="4" t="str">
        <f t="shared" ref="L1684" si="1780">IFERROR(L1673/L1654,"-")</f>
        <v>-</v>
      </c>
      <c r="N1684" s="1"/>
    </row>
    <row r="1685" spans="2:14" x14ac:dyDescent="0.35">
      <c r="B1685" t="str">
        <f t="shared" si="1768"/>
        <v>SPS1</v>
      </c>
      <c r="C1685" t="str">
        <f t="shared" si="1745"/>
        <v>CH</v>
      </c>
      <c r="D1685" t="s">
        <v>1693</v>
      </c>
      <c r="E1685" t="s">
        <v>1229</v>
      </c>
      <c r="F1685" t="str">
        <f t="shared" ref="F1685:K1687" si="1781">IFERROR(F1674/F1660,"-")</f>
        <v>-</v>
      </c>
      <c r="G1685" t="str">
        <f t="shared" si="1781"/>
        <v>-</v>
      </c>
      <c r="H1685" t="str">
        <f t="shared" si="1781"/>
        <v>-</v>
      </c>
      <c r="I1685" t="str">
        <f t="shared" si="1781"/>
        <v>-</v>
      </c>
      <c r="J1685" t="str">
        <f t="shared" si="1781"/>
        <v>-</v>
      </c>
      <c r="K1685" t="str">
        <f t="shared" si="1781"/>
        <v>-</v>
      </c>
      <c r="L1685" t="str">
        <f t="shared" ref="L1685" si="1782">IFERROR(L1674/L1660,"-")</f>
        <v>-</v>
      </c>
      <c r="N1685" s="1"/>
    </row>
    <row r="1686" spans="2:14" x14ac:dyDescent="0.35">
      <c r="B1686" t="str">
        <f t="shared" si="1768"/>
        <v>SPS1</v>
      </c>
      <c r="C1686" t="str">
        <f t="shared" si="1745"/>
        <v>CH</v>
      </c>
      <c r="D1686" t="s">
        <v>1694</v>
      </c>
      <c r="E1686" t="s">
        <v>1229</v>
      </c>
      <c r="F1686" s="1">
        <f t="shared" si="1781"/>
        <v>4.0530738867855104E-3</v>
      </c>
      <c r="G1686" s="1">
        <f t="shared" si="1781"/>
        <v>4.0530738867855121E-3</v>
      </c>
      <c r="H1686">
        <f t="shared" si="1781"/>
        <v>4.0530738867855121E-3</v>
      </c>
      <c r="I1686">
        <f t="shared" si="1781"/>
        <v>4.0530738867855087E-3</v>
      </c>
      <c r="J1686" t="str">
        <f t="shared" si="1781"/>
        <v>-</v>
      </c>
      <c r="K1686" t="str">
        <f t="shared" si="1781"/>
        <v>-</v>
      </c>
      <c r="L1686" t="str">
        <f t="shared" ref="L1686" si="1783">IFERROR(L1675/L1661,"-")</f>
        <v>-</v>
      </c>
      <c r="N1686" s="1"/>
    </row>
    <row r="1687" spans="2:14" x14ac:dyDescent="0.35">
      <c r="B1687" t="str">
        <f t="shared" si="1768"/>
        <v>SPS1</v>
      </c>
      <c r="C1687" t="str">
        <f t="shared" si="1745"/>
        <v>CH</v>
      </c>
      <c r="D1687" t="s">
        <v>1695</v>
      </c>
      <c r="E1687" t="s">
        <v>240</v>
      </c>
      <c r="F1687" s="4">
        <f t="shared" si="1781"/>
        <v>0.98826978015125178</v>
      </c>
      <c r="G1687" s="4">
        <f t="shared" si="1781"/>
        <v>0.98826978015124878</v>
      </c>
      <c r="H1687" s="4">
        <f t="shared" si="1781"/>
        <v>0.98826978015125178</v>
      </c>
      <c r="I1687" s="4">
        <f t="shared" si="1781"/>
        <v>0.988269780151243</v>
      </c>
      <c r="J1687" s="4">
        <f t="shared" si="1781"/>
        <v>0.98826978015124634</v>
      </c>
      <c r="K1687" s="4">
        <f t="shared" si="1781"/>
        <v>0.98826978015124944</v>
      </c>
      <c r="L1687" s="4">
        <f t="shared" ref="L1687" si="1784">IFERROR(L1676/L1662,"-")</f>
        <v>0.98826978015124622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85">SUM(G1689:G1691,G1694:G1696,-G1701)</f>
        <v>32.289657756802093</v>
      </c>
      <c r="H1688" s="3">
        <f t="shared" si="1785"/>
        <v>29.862818890153619</v>
      </c>
      <c r="I1688" s="3">
        <f t="shared" si="1785"/>
        <v>20.84328089657172</v>
      </c>
      <c r="J1688" s="3">
        <f t="shared" si="1785"/>
        <v>14.491649972960634</v>
      </c>
      <c r="K1688" s="3">
        <f t="shared" si="1785"/>
        <v>8.6669850690706784</v>
      </c>
      <c r="L1688" s="3">
        <f t="shared" ref="L1688" si="1786">SUM(L1689:L1691,L1694:L1696,-L1701)</f>
        <v>-3.7111527630887953E-8</v>
      </c>
      <c r="N1688" s="1"/>
    </row>
    <row r="1689" spans="2:14" x14ac:dyDescent="0.35">
      <c r="B1689" t="str">
        <f>B1688</f>
        <v>SPS1</v>
      </c>
      <c r="C1689" t="str">
        <f t="shared" ref="C1689" si="1787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2.2530141940060204</v>
      </c>
      <c r="K1689" s="1">
        <f>[2]Summary!G53+[2]Summary!G59</f>
        <v>1.0040448191455897</v>
      </c>
      <c r="L1689" s="1">
        <f>[2]Summary!H53+[2]Summary!H59</f>
        <v>-1.9525399323864274</v>
      </c>
      <c r="N1689" s="1"/>
    </row>
    <row r="1690" spans="2:14" x14ac:dyDescent="0.35">
      <c r="B1690" t="str">
        <f t="shared" ref="B1690:B1701" si="1788">B1689</f>
        <v>SPS1</v>
      </c>
      <c r="C1690" t="str">
        <f t="shared" ref="C1690:C1701" si="1789">C1689</f>
        <v>CH</v>
      </c>
      <c r="D1690" t="s">
        <v>1703</v>
      </c>
      <c r="E1690" t="str">
        <f t="shared" ref="E1690:E1701" si="179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-7.7929308548318929E-6</v>
      </c>
      <c r="N1690" s="1"/>
    </row>
    <row r="1691" spans="2:14" x14ac:dyDescent="0.35">
      <c r="B1691" t="str">
        <f t="shared" si="1788"/>
        <v>SPS1</v>
      </c>
      <c r="C1691" t="str">
        <f t="shared" si="1789"/>
        <v>CH</v>
      </c>
      <c r="D1691" t="s">
        <v>1704</v>
      </c>
      <c r="E1691" t="str">
        <f t="shared" si="1790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4.0037966521813004</v>
      </c>
      <c r="K1691" s="1">
        <f>[2]Summary!G55+[2]Summary!G60</f>
        <v>3.2727364754534785</v>
      </c>
      <c r="L1691" s="1">
        <f>[2]Summary!H55+[2]Summary!H60</f>
        <v>0.88145384259260551</v>
      </c>
      <c r="N1691" s="1"/>
    </row>
    <row r="1692" spans="2:14" x14ac:dyDescent="0.35">
      <c r="B1692" t="str">
        <f t="shared" si="1788"/>
        <v>SPS1</v>
      </c>
      <c r="C1692" t="str">
        <f t="shared" si="1789"/>
        <v>CH</v>
      </c>
      <c r="D1692" t="s">
        <v>1714</v>
      </c>
      <c r="E1692" t="str">
        <f t="shared" si="1790"/>
        <v>Mt/yr.</v>
      </c>
      <c r="F1692" s="1">
        <f>F1691-F1693</f>
        <v>4.403392223618452</v>
      </c>
      <c r="G1692" s="1">
        <f t="shared" ref="G1692:K1692" si="1791">G1691-G1693</f>
        <v>4.1006245941338744</v>
      </c>
      <c r="H1692" s="1">
        <f t="shared" si="1791"/>
        <v>3.5724773439563231</v>
      </c>
      <c r="I1692" s="1">
        <f t="shared" si="1791"/>
        <v>2.7750123843436705</v>
      </c>
      <c r="J1692" s="1">
        <f t="shared" si="1791"/>
        <v>1.9182616886139705</v>
      </c>
      <c r="K1692" s="1">
        <f t="shared" si="1791"/>
        <v>1.1953326897750389</v>
      </c>
      <c r="L1692" s="1">
        <f t="shared" ref="L1692" si="1792">L1691-L1693</f>
        <v>-0.15042033625928442</v>
      </c>
      <c r="N1692" s="1"/>
    </row>
    <row r="1693" spans="2:14" x14ac:dyDescent="0.35">
      <c r="B1693" t="str">
        <f t="shared" si="1788"/>
        <v>SPS1</v>
      </c>
      <c r="C1693" t="str">
        <f t="shared" si="1789"/>
        <v>CH</v>
      </c>
      <c r="D1693" t="s">
        <v>1713</v>
      </c>
      <c r="E1693" t="str">
        <f t="shared" si="179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2.0855349635673299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2.0774037856784395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1.0318741788518899</v>
      </c>
      <c r="N1693" s="1"/>
    </row>
    <row r="1694" spans="2:14" x14ac:dyDescent="0.35">
      <c r="B1694" t="str">
        <f t="shared" si="1788"/>
        <v>SPS1</v>
      </c>
      <c r="C1694" t="str">
        <f t="shared" si="1789"/>
        <v>CH</v>
      </c>
      <c r="D1694" t="s">
        <v>1705</v>
      </c>
      <c r="E1694" t="str">
        <f t="shared" si="1790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1.4210420756293141</v>
      </c>
      <c r="K1694" s="1">
        <f>[2]Summary!G56</f>
        <v>0.92123561480595295</v>
      </c>
      <c r="L1694" s="1">
        <f>[2]Summary!H56</f>
        <v>0.60769145886259002</v>
      </c>
      <c r="N1694" s="1"/>
    </row>
    <row r="1695" spans="2:14" x14ac:dyDescent="0.35">
      <c r="B1695" t="str">
        <f t="shared" si="1788"/>
        <v>SPS1</v>
      </c>
      <c r="C1695" t="str">
        <f t="shared" si="1789"/>
        <v>CH</v>
      </c>
      <c r="D1695" t="s">
        <v>1706</v>
      </c>
      <c r="E1695" t="str">
        <f t="shared" si="1790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2.47349775776207</v>
      </c>
      <c r="K1695" s="1">
        <f>[2]Summary!G57</f>
        <v>1.18984757814052</v>
      </c>
      <c r="L1695" s="1">
        <f>[2]Summary!H57</f>
        <v>0.44638523454659296</v>
      </c>
      <c r="N1695" s="1"/>
    </row>
    <row r="1696" spans="2:14" x14ac:dyDescent="0.35">
      <c r="B1696" t="str">
        <f t="shared" si="1788"/>
        <v>SPS1</v>
      </c>
      <c r="C1696" t="str">
        <f t="shared" si="1789"/>
        <v>CH</v>
      </c>
      <c r="D1696" t="s">
        <v>1707</v>
      </c>
      <c r="E1696" t="str">
        <f t="shared" si="1790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4.3402992933819293</v>
      </c>
      <c r="K1696" s="1">
        <f>[2]Summary!G58</f>
        <v>2.2791209644978014</v>
      </c>
      <c r="L1696" s="1">
        <f>[2]Summary!H58</f>
        <v>1.7018499436644297E-2</v>
      </c>
      <c r="N1696" s="1"/>
    </row>
    <row r="1697" spans="2:14" x14ac:dyDescent="0.35">
      <c r="B1697" t="str">
        <f t="shared" si="1788"/>
        <v>SPS1</v>
      </c>
      <c r="C1697" t="str">
        <f t="shared" si="1789"/>
        <v>CH</v>
      </c>
      <c r="D1697" t="s">
        <v>1708</v>
      </c>
      <c r="E1697" t="str">
        <f t="shared" si="179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1.3833645651720234</v>
      </c>
      <c r="L1697" s="1">
        <f>-[2]Summary!H59</f>
        <v>4.2931036458745728</v>
      </c>
      <c r="N1697" s="1"/>
    </row>
    <row r="1698" spans="2:14" x14ac:dyDescent="0.35">
      <c r="B1698" t="str">
        <f t="shared" si="1788"/>
        <v>SPS1</v>
      </c>
      <c r="C1698" t="str">
        <f t="shared" si="1789"/>
        <v>CH</v>
      </c>
      <c r="D1698" t="s">
        <v>1709</v>
      </c>
      <c r="E1698" t="str">
        <f t="shared" si="179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0.43872749218423213</v>
      </c>
      <c r="L1698" s="1">
        <f>-[2]Summary!H60</f>
        <v>2.2265888555990059</v>
      </c>
      <c r="N1698" s="1"/>
    </row>
    <row r="1699" spans="2:14" x14ac:dyDescent="0.35">
      <c r="B1699" t="str">
        <f t="shared" si="1788"/>
        <v>SPS1</v>
      </c>
      <c r="C1699" t="str">
        <f t="shared" si="1789"/>
        <v>CH</v>
      </c>
      <c r="D1699" t="s">
        <v>1710</v>
      </c>
      <c r="E1699" t="str">
        <f t="shared" si="179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7.7929308548318929E-6</v>
      </c>
      <c r="N1699" s="1"/>
    </row>
    <row r="1700" spans="2:14" x14ac:dyDescent="0.35">
      <c r="B1700" t="str">
        <f t="shared" si="1788"/>
        <v>SPS1</v>
      </c>
      <c r="C1700" t="str">
        <f t="shared" si="1789"/>
        <v>CH</v>
      </c>
      <c r="D1700" t="s">
        <v>1711</v>
      </c>
      <c r="E1700" t="str">
        <f t="shared" si="179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8"/>
        <v>SPS1</v>
      </c>
      <c r="C1701" t="str">
        <f t="shared" si="1789"/>
        <v>CH</v>
      </c>
      <c r="D1701" t="s">
        <v>1712</v>
      </c>
      <c r="E1701" t="str">
        <f t="shared" si="179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3.8297266387882836E-7</v>
      </c>
      <c r="L1701" s="1">
        <f>-[2]Summary!H63</f>
        <v>1.3472326781415449E-6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3">SUM(G1703:G1705)</f>
        <v>0</v>
      </c>
      <c r="H1702" s="3">
        <f t="shared" si="1793"/>
        <v>0</v>
      </c>
      <c r="I1702" s="3">
        <f t="shared" si="1793"/>
        <v>0</v>
      </c>
      <c r="J1702" s="3">
        <f t="shared" si="1793"/>
        <v>0</v>
      </c>
      <c r="K1702" s="3">
        <f t="shared" si="1793"/>
        <v>0</v>
      </c>
      <c r="L1702" s="3">
        <f t="shared" ref="L1702" si="1794">SUM(L1703:L1705)</f>
        <v>6.5197011458803962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1.9047619694937277</v>
      </c>
      <c r="N1703" s="1"/>
    </row>
    <row r="1704" spans="2:14" x14ac:dyDescent="0.35">
      <c r="B1704" t="str">
        <f t="shared" ref="B1704:B1705" si="1795">B1703</f>
        <v>SPS1</v>
      </c>
      <c r="C1704" t="str">
        <f t="shared" ref="C1704:C1705" si="179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1.6814340605427389E-2</v>
      </c>
      <c r="N1704" s="1"/>
    </row>
    <row r="1705" spans="2:14" x14ac:dyDescent="0.35">
      <c r="B1705" t="str">
        <f t="shared" si="1795"/>
        <v>SPS1</v>
      </c>
      <c r="C1705" t="str">
        <f t="shared" si="179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4.598124835781241</v>
      </c>
      <c r="N1705" s="1"/>
    </row>
    <row r="1706" spans="2:14" x14ac:dyDescent="0.35">
      <c r="B1706" s="2" t="str">
        <f t="shared" ref="B1706:C1711" si="1797">B1705</f>
        <v>SPS1</v>
      </c>
      <c r="C1706" s="2" t="str">
        <f t="shared" si="1797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7"/>
        <v>SPS1</v>
      </c>
      <c r="C1707" t="str">
        <f t="shared" si="179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8">SUM(G1708:G1709)</f>
        <v>0</v>
      </c>
      <c r="H1707" s="1">
        <f t="shared" si="1798"/>
        <v>0</v>
      </c>
      <c r="I1707" s="1">
        <f t="shared" si="1798"/>
        <v>0</v>
      </c>
      <c r="J1707" s="1">
        <f t="shared" si="1798"/>
        <v>0</v>
      </c>
      <c r="K1707" s="1">
        <f t="shared" si="1798"/>
        <v>3.0775097300199469E-6</v>
      </c>
      <c r="L1707" s="1">
        <f t="shared" ref="L1707" si="1799">SUM(L1708:L1709)</f>
        <v>9.8129336266404894E-6</v>
      </c>
      <c r="N1707" s="1"/>
    </row>
    <row r="1708" spans="2:14" x14ac:dyDescent="0.35">
      <c r="B1708" t="str">
        <f t="shared" si="1797"/>
        <v>SPS1</v>
      </c>
      <c r="C1708" t="str">
        <f t="shared" si="179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5.3105542724530866E-7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1.225981737108806E-6</v>
      </c>
      <c r="N1708" s="1"/>
    </row>
    <row r="1709" spans="2:14" x14ac:dyDescent="0.35">
      <c r="B1709" t="str">
        <f t="shared" si="1797"/>
        <v>SPS1</v>
      </c>
      <c r="C1709" t="str">
        <f t="shared" si="179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2.546454302774638E-6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8.5869518895316838E-6</v>
      </c>
      <c r="N1709" s="1"/>
    </row>
    <row r="1710" spans="2:14" x14ac:dyDescent="0.35">
      <c r="B1710" t="str">
        <f t="shared" si="1797"/>
        <v>SPS1</v>
      </c>
      <c r="C1710" t="str">
        <f t="shared" si="179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800">G1701</f>
        <v>0</v>
      </c>
      <c r="H1710" s="1">
        <f t="shared" si="1800"/>
        <v>0</v>
      </c>
      <c r="I1710" s="1">
        <f t="shared" si="1800"/>
        <v>0</v>
      </c>
      <c r="J1710" s="1">
        <f t="shared" si="1800"/>
        <v>0</v>
      </c>
      <c r="K1710" s="1">
        <f t="shared" si="1800"/>
        <v>3.8297266387882836E-7</v>
      </c>
      <c r="L1710" s="1">
        <f t="shared" ref="L1710" si="1801">L1701</f>
        <v>1.3472326781415449E-6</v>
      </c>
      <c r="N1710" s="1"/>
    </row>
    <row r="1711" spans="2:14" x14ac:dyDescent="0.35">
      <c r="B1711" s="2" t="str">
        <f t="shared" si="1797"/>
        <v>SPS1</v>
      </c>
      <c r="C1711" s="2" t="str">
        <f t="shared" si="179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802">SUM(G1712:G1713,G1730,G1739:G1740,G1741,G1742,G1747,G1750,,G1755:G1758,G1751)</f>
        <v>957.97353764459433</v>
      </c>
      <c r="H1711" s="3">
        <f t="shared" si="1802"/>
        <v>907.77864857264046</v>
      </c>
      <c r="I1711" s="3">
        <f t="shared" si="1802"/>
        <v>835.25478364357184</v>
      </c>
      <c r="J1711" s="3">
        <f t="shared" si="1802"/>
        <v>781.92106370814577</v>
      </c>
      <c r="K1711" s="3">
        <f t="shared" si="1802"/>
        <v>720.81150770151328</v>
      </c>
      <c r="L1711" s="3">
        <f t="shared" ref="L1711" si="1803">SUM(L1712:L1713,L1730,L1739:L1740,L1741,L1742,L1747,L1750,,L1755:L1758,L1751)</f>
        <v>713.75091829351049</v>
      </c>
      <c r="N1711" s="1"/>
    </row>
    <row r="1712" spans="2:14" x14ac:dyDescent="0.35">
      <c r="B1712" t="str">
        <f>B1711</f>
        <v>SPS1</v>
      </c>
      <c r="C1712" t="str">
        <f t="shared" ref="C1712" si="1804">C1711</f>
        <v>CH</v>
      </c>
      <c r="D1712" t="s">
        <v>1738</v>
      </c>
      <c r="E1712" t="str">
        <f>E1711</f>
        <v>PJ/yr.</v>
      </c>
      <c r="F1712" s="1">
        <f t="shared" ref="F1712:K1722" si="1805">F21</f>
        <v>3.6600076133470161</v>
      </c>
      <c r="G1712" s="1">
        <f t="shared" si="1805"/>
        <v>3.5647185818756522</v>
      </c>
      <c r="H1712" s="1">
        <f t="shared" si="1805"/>
        <v>5.4973938361112522E-2</v>
      </c>
      <c r="I1712" s="1">
        <f t="shared" si="1805"/>
        <v>1.0527247038348468E-3</v>
      </c>
      <c r="J1712" s="1">
        <f t="shared" si="1805"/>
        <v>7.624269233838792E-5</v>
      </c>
      <c r="K1712" s="1">
        <f t="shared" si="1805"/>
        <v>2.5477775756180704E-4</v>
      </c>
      <c r="L1712" s="1">
        <f t="shared" ref="L1712" si="1806">L21</f>
        <v>6.2873572181124671E-5</v>
      </c>
      <c r="N1712" s="1"/>
    </row>
    <row r="1713" spans="2:14" x14ac:dyDescent="0.35">
      <c r="B1713" t="str">
        <f t="shared" ref="B1713:B1765" si="1807">B1712</f>
        <v>SPS1</v>
      </c>
      <c r="C1713" t="str">
        <f t="shared" ref="C1713:C1765" si="1808">C1712</f>
        <v>CH</v>
      </c>
      <c r="D1713" t="s">
        <v>1739</v>
      </c>
      <c r="E1713" t="str">
        <f t="shared" ref="E1713:E1741" si="1809">E1712</f>
        <v>PJ/yr.</v>
      </c>
      <c r="F1713" s="1">
        <f t="shared" si="1805"/>
        <v>310.6188422907415</v>
      </c>
      <c r="G1713" s="1">
        <f t="shared" si="1805"/>
        <v>285.86973425522075</v>
      </c>
      <c r="H1713" s="1">
        <f t="shared" si="1805"/>
        <v>260.96912270732537</v>
      </c>
      <c r="I1713" s="1">
        <f t="shared" si="1805"/>
        <v>166.667128914899</v>
      </c>
      <c r="J1713" s="1">
        <f t="shared" si="1805"/>
        <v>110.20743497959998</v>
      </c>
      <c r="K1713" s="1">
        <f t="shared" si="1805"/>
        <v>80.364365660382333</v>
      </c>
      <c r="L1713" s="1">
        <f t="shared" ref="L1713" si="1810">L22</f>
        <v>86.561530929489948</v>
      </c>
      <c r="N1713" s="1"/>
    </row>
    <row r="1714" spans="2:14" x14ac:dyDescent="0.35">
      <c r="B1714" t="str">
        <f t="shared" si="1807"/>
        <v>SPS1</v>
      </c>
      <c r="C1714" t="str">
        <f t="shared" si="1808"/>
        <v>CH</v>
      </c>
      <c r="D1714" t="s">
        <v>1740</v>
      </c>
      <c r="E1714" t="str">
        <f t="shared" si="1809"/>
        <v>PJ/yr.</v>
      </c>
      <c r="F1714" s="1">
        <f t="shared" si="1805"/>
        <v>303.82415308170494</v>
      </c>
      <c r="G1714" s="1">
        <f t="shared" si="1805"/>
        <v>279.19775903208347</v>
      </c>
      <c r="H1714" s="1">
        <f t="shared" si="1805"/>
        <v>253.20273474693849</v>
      </c>
      <c r="I1714" s="1">
        <f t="shared" si="1805"/>
        <v>154.77553882298315</v>
      </c>
      <c r="J1714" s="1">
        <f t="shared" si="1805"/>
        <v>87.287955336440518</v>
      </c>
      <c r="K1714" s="1">
        <f t="shared" si="1805"/>
        <v>45.236985216850606</v>
      </c>
      <c r="L1714" s="1">
        <f t="shared" ref="L1714" si="1811">L23</f>
        <v>0</v>
      </c>
      <c r="N1714" s="1"/>
    </row>
    <row r="1715" spans="2:14" x14ac:dyDescent="0.35">
      <c r="B1715" t="str">
        <f t="shared" si="1807"/>
        <v>SPS1</v>
      </c>
      <c r="C1715" t="str">
        <f t="shared" si="1808"/>
        <v>CH</v>
      </c>
      <c r="D1715" t="s">
        <v>1741</v>
      </c>
      <c r="E1715" t="str">
        <f t="shared" si="1809"/>
        <v>PJ/yr.</v>
      </c>
      <c r="F1715" s="1">
        <f t="shared" si="1805"/>
        <v>101.75571683158913</v>
      </c>
      <c r="G1715" s="1">
        <f t="shared" si="1805"/>
        <v>88.53250012528818</v>
      </c>
      <c r="H1715" s="1">
        <f t="shared" si="1805"/>
        <v>84.575680528166146</v>
      </c>
      <c r="I1715" s="1">
        <f t="shared" si="1805"/>
        <v>43.1291447502743</v>
      </c>
      <c r="J1715" s="1">
        <f t="shared" si="1805"/>
        <v>28.241914430913098</v>
      </c>
      <c r="K1715" s="1">
        <f t="shared" si="1805"/>
        <v>14.230078013461341</v>
      </c>
      <c r="L1715" s="1">
        <f t="shared" ref="L1715" si="1812">L24</f>
        <v>0</v>
      </c>
      <c r="N1715" s="1"/>
    </row>
    <row r="1716" spans="2:14" x14ac:dyDescent="0.35">
      <c r="B1716" t="str">
        <f t="shared" si="1807"/>
        <v>SPS1</v>
      </c>
      <c r="C1716" t="str">
        <f t="shared" si="1808"/>
        <v>CH</v>
      </c>
      <c r="D1716" t="s">
        <v>1742</v>
      </c>
      <c r="E1716" t="str">
        <f t="shared" si="1809"/>
        <v>PJ/yr.</v>
      </c>
      <c r="F1716" s="1">
        <f t="shared" si="1805"/>
        <v>2.7763749147230832</v>
      </c>
      <c r="G1716" s="1">
        <f t="shared" si="1805"/>
        <v>2.4460036651318813</v>
      </c>
      <c r="H1716" s="1">
        <f t="shared" si="1805"/>
        <v>4.106701765337473E-3</v>
      </c>
      <c r="I1716" s="1">
        <f t="shared" si="1805"/>
        <v>7.3389114231985552E-4</v>
      </c>
      <c r="J1716" s="1">
        <f t="shared" si="1805"/>
        <v>1.0676201077373232E-4</v>
      </c>
      <c r="K1716" s="1">
        <f t="shared" si="1805"/>
        <v>3.8812616920277308E-4</v>
      </c>
      <c r="L1716" s="1">
        <f t="shared" ref="L1716" si="1813">L25</f>
        <v>0</v>
      </c>
      <c r="N1716" s="1"/>
    </row>
    <row r="1717" spans="2:14" x14ac:dyDescent="0.35">
      <c r="B1717" t="str">
        <f t="shared" si="1807"/>
        <v>SPS1</v>
      </c>
      <c r="C1717" t="str">
        <f t="shared" si="1808"/>
        <v>CH</v>
      </c>
      <c r="D1717" t="s">
        <v>1743</v>
      </c>
      <c r="E1717" t="str">
        <f t="shared" si="1809"/>
        <v>PJ/yr.</v>
      </c>
      <c r="F1717" s="1">
        <f t="shared" si="1805"/>
        <v>118.02136086279887</v>
      </c>
      <c r="G1717" s="1">
        <f t="shared" si="1805"/>
        <v>112.67289081329531</v>
      </c>
      <c r="H1717" s="1">
        <f t="shared" si="1805"/>
        <v>95.833136669535776</v>
      </c>
      <c r="I1717" s="1">
        <f t="shared" si="1805"/>
        <v>66.372910757396625</v>
      </c>
      <c r="J1717" s="1">
        <f t="shared" si="1805"/>
        <v>39.956467701676267</v>
      </c>
      <c r="K1717" s="1">
        <f t="shared" si="1805"/>
        <v>21.184736473795521</v>
      </c>
      <c r="L1717" s="1">
        <f t="shared" ref="L1717" si="1814">L26</f>
        <v>0</v>
      </c>
      <c r="N1717" s="1"/>
    </row>
    <row r="1718" spans="2:14" x14ac:dyDescent="0.35">
      <c r="B1718" t="str">
        <f t="shared" si="1807"/>
        <v>SPS1</v>
      </c>
      <c r="C1718" t="str">
        <f t="shared" si="1808"/>
        <v>CH</v>
      </c>
      <c r="D1718" t="s">
        <v>1744</v>
      </c>
      <c r="E1718" t="str">
        <f t="shared" si="1809"/>
        <v>PJ/yr.</v>
      </c>
      <c r="F1718" s="1">
        <f t="shared" si="1805"/>
        <v>80.162897171800836</v>
      </c>
      <c r="G1718" s="1">
        <f t="shared" si="1805"/>
        <v>74.141235120800587</v>
      </c>
      <c r="H1718" s="1">
        <f t="shared" si="1805"/>
        <v>70.941915448230887</v>
      </c>
      <c r="I1718" s="1">
        <f t="shared" si="1805"/>
        <v>42.689454944766659</v>
      </c>
      <c r="J1718" s="1">
        <f t="shared" si="1805"/>
        <v>16.501315020021647</v>
      </c>
      <c r="K1718" s="1">
        <f t="shared" si="1805"/>
        <v>7.6696255908696465</v>
      </c>
      <c r="L1718" s="1">
        <f t="shared" ref="L1718" si="1815">L27</f>
        <v>0</v>
      </c>
      <c r="N1718" s="1"/>
    </row>
    <row r="1719" spans="2:14" x14ac:dyDescent="0.35">
      <c r="B1719" t="str">
        <f t="shared" si="1807"/>
        <v>SPS1</v>
      </c>
      <c r="C1719" t="str">
        <f t="shared" si="1808"/>
        <v>CH</v>
      </c>
      <c r="D1719" t="s">
        <v>1745</v>
      </c>
      <c r="E1719" t="str">
        <f t="shared" si="1809"/>
        <v>PJ/yr.</v>
      </c>
      <c r="F1719" s="1">
        <f t="shared" si="1805"/>
        <v>1.1078033007930141</v>
      </c>
      <c r="G1719" s="1">
        <f t="shared" si="1805"/>
        <v>1.4051293075674922</v>
      </c>
      <c r="H1719" s="1">
        <f t="shared" si="1805"/>
        <v>1.8478953992403317</v>
      </c>
      <c r="I1719" s="1">
        <f t="shared" si="1805"/>
        <v>2.583294479403254</v>
      </c>
      <c r="J1719" s="1">
        <f t="shared" si="1805"/>
        <v>2.5881514218187309</v>
      </c>
      <c r="K1719" s="1">
        <f t="shared" si="1805"/>
        <v>2.152157012554901</v>
      </c>
      <c r="L1719" s="1">
        <f t="shared" ref="L1719" si="1816">L28</f>
        <v>0</v>
      </c>
      <c r="N1719" s="1"/>
    </row>
    <row r="1720" spans="2:14" x14ac:dyDescent="0.35">
      <c r="B1720" t="str">
        <f t="shared" si="1807"/>
        <v>SPS1</v>
      </c>
      <c r="C1720" t="str">
        <f t="shared" si="1808"/>
        <v>CH</v>
      </c>
      <c r="D1720" t="s">
        <v>1746</v>
      </c>
      <c r="E1720" t="str">
        <f t="shared" si="1809"/>
        <v>PJ/yr.</v>
      </c>
      <c r="F1720" s="1">
        <f t="shared" si="1805"/>
        <v>6.7946892090365472</v>
      </c>
      <c r="G1720" s="1">
        <f t="shared" si="1805"/>
        <v>6.6719752231372595</v>
      </c>
      <c r="H1720" s="1">
        <f t="shared" si="1805"/>
        <v>7.7663879603868562</v>
      </c>
      <c r="I1720" s="1">
        <f t="shared" si="1805"/>
        <v>11.891590091915837</v>
      </c>
      <c r="J1720" s="1">
        <f t="shared" si="1805"/>
        <v>22.919479643159463</v>
      </c>
      <c r="K1720" s="1">
        <f t="shared" si="1805"/>
        <v>35.12738044353172</v>
      </c>
      <c r="L1720" s="1">
        <f t="shared" ref="L1720" si="1817">L29</f>
        <v>86.561530929489948</v>
      </c>
      <c r="N1720" s="1"/>
    </row>
    <row r="1721" spans="2:14" x14ac:dyDescent="0.35">
      <c r="B1721" t="str">
        <f t="shared" si="1807"/>
        <v>SPS1</v>
      </c>
      <c r="C1721" t="str">
        <f t="shared" si="1808"/>
        <v>CH</v>
      </c>
      <c r="D1721" t="s">
        <v>1747</v>
      </c>
      <c r="E1721" t="str">
        <f t="shared" si="1809"/>
        <v>PJ/yr.</v>
      </c>
      <c r="F1721" s="1">
        <f t="shared" si="1805"/>
        <v>2.3589789319279117</v>
      </c>
      <c r="G1721" s="1">
        <f t="shared" si="1805"/>
        <v>2.3779261535037022</v>
      </c>
      <c r="H1721" s="1">
        <f t="shared" si="1805"/>
        <v>3.8651796932590994</v>
      </c>
      <c r="I1721" s="1">
        <f t="shared" si="1805"/>
        <v>4.40286430881621</v>
      </c>
      <c r="J1721" s="1">
        <f t="shared" si="1805"/>
        <v>4.054998840238774</v>
      </c>
      <c r="K1721" s="1">
        <f t="shared" si="1805"/>
        <v>4.0545725038854208</v>
      </c>
      <c r="L1721" s="1">
        <f t="shared" ref="L1721" si="1818">L30</f>
        <v>5.1337786323504986</v>
      </c>
      <c r="N1721" s="1"/>
    </row>
    <row r="1722" spans="2:14" x14ac:dyDescent="0.35">
      <c r="B1722" t="str">
        <f t="shared" si="1807"/>
        <v>SPS1</v>
      </c>
      <c r="C1722" t="str">
        <f t="shared" si="1808"/>
        <v>CH</v>
      </c>
      <c r="D1722" t="s">
        <v>1748</v>
      </c>
      <c r="E1722" t="str">
        <f t="shared" si="1809"/>
        <v>PJ/yr.</v>
      </c>
      <c r="F1722" s="1">
        <f t="shared" si="1805"/>
        <v>4.434150414358708</v>
      </c>
      <c r="G1722" s="1">
        <f t="shared" si="1805"/>
        <v>4.2939626316965818</v>
      </c>
      <c r="H1722" s="1">
        <f t="shared" si="1805"/>
        <v>3.9001596957830569</v>
      </c>
      <c r="I1722" s="1">
        <f t="shared" si="1805"/>
        <v>2.4724733989232108</v>
      </c>
      <c r="J1722" s="1">
        <f t="shared" si="1805"/>
        <v>1.832319352410841</v>
      </c>
      <c r="K1722" s="1">
        <f t="shared" si="1805"/>
        <v>0.44428209211391911</v>
      </c>
      <c r="L1722" s="1">
        <f t="shared" ref="L1722" si="1819">L31</f>
        <v>0.92507679980647883</v>
      </c>
      <c r="N1722" s="1"/>
    </row>
    <row r="1723" spans="2:14" x14ac:dyDescent="0.35">
      <c r="B1723" t="str">
        <f t="shared" si="1807"/>
        <v>SPS1</v>
      </c>
      <c r="C1723" t="str">
        <f t="shared" si="1808"/>
        <v>CH</v>
      </c>
      <c r="D1723" t="s">
        <v>1749</v>
      </c>
      <c r="E1723" t="str">
        <f t="shared" si="1809"/>
        <v>PJ/yr.</v>
      </c>
      <c r="F1723" s="1">
        <f t="shared" ref="F1723:K1725" si="1820">F33</f>
        <v>6.7946892090365472</v>
      </c>
      <c r="G1723" s="1">
        <f t="shared" si="1820"/>
        <v>6.6719752231372595</v>
      </c>
      <c r="H1723" s="1">
        <f t="shared" si="1820"/>
        <v>7.7663879603868562</v>
      </c>
      <c r="I1723" s="1">
        <f t="shared" si="1820"/>
        <v>11.891590091915837</v>
      </c>
      <c r="J1723" s="1">
        <f t="shared" si="1820"/>
        <v>10.903570576826031</v>
      </c>
      <c r="K1723" s="1">
        <f t="shared" si="1820"/>
        <v>21.531016046509187</v>
      </c>
      <c r="L1723" s="1">
        <f t="shared" ref="L1723" si="1821">L33</f>
        <v>35.956466956155069</v>
      </c>
      <c r="N1723" s="1"/>
    </row>
    <row r="1724" spans="2:14" x14ac:dyDescent="0.35">
      <c r="B1724" t="str">
        <f t="shared" si="1807"/>
        <v>SPS1</v>
      </c>
      <c r="C1724" t="str">
        <f t="shared" si="1808"/>
        <v>CH</v>
      </c>
      <c r="D1724" t="s">
        <v>1750</v>
      </c>
      <c r="E1724" t="str">
        <f t="shared" si="1809"/>
        <v>PJ/yr.</v>
      </c>
      <c r="F1724" s="1">
        <f t="shared" si="1820"/>
        <v>2.3589789319279117</v>
      </c>
      <c r="G1724" s="1">
        <f t="shared" si="1820"/>
        <v>2.3779261535037022</v>
      </c>
      <c r="H1724" s="1">
        <f t="shared" si="1820"/>
        <v>3.8651796932590994</v>
      </c>
      <c r="I1724" s="1">
        <f t="shared" si="1820"/>
        <v>4.40286430881621</v>
      </c>
      <c r="J1724" s="1">
        <f t="shared" si="1820"/>
        <v>4.054998840238774</v>
      </c>
      <c r="K1724" s="1">
        <f t="shared" si="1820"/>
        <v>4.0545725038854208</v>
      </c>
      <c r="L1724" s="1">
        <f t="shared" ref="L1724" si="1822">L34</f>
        <v>4.40286430881621</v>
      </c>
      <c r="N1724" s="1"/>
    </row>
    <row r="1725" spans="2:14" x14ac:dyDescent="0.35">
      <c r="B1725" t="str">
        <f t="shared" si="1807"/>
        <v>SPS1</v>
      </c>
      <c r="C1725" t="str">
        <f t="shared" si="1808"/>
        <v>CH</v>
      </c>
      <c r="D1725" t="s">
        <v>1751</v>
      </c>
      <c r="E1725" t="str">
        <f t="shared" si="1809"/>
        <v>PJ/yr.</v>
      </c>
      <c r="F1725" s="1">
        <f t="shared" si="1820"/>
        <v>4.434150414358708</v>
      </c>
      <c r="G1725" s="1">
        <f t="shared" si="1820"/>
        <v>4.2939626316965818</v>
      </c>
      <c r="H1725" s="1">
        <f t="shared" si="1820"/>
        <v>3.9001596957830569</v>
      </c>
      <c r="I1725" s="1">
        <f t="shared" si="1820"/>
        <v>2.4724733989232108</v>
      </c>
      <c r="J1725" s="1">
        <f t="shared" si="1820"/>
        <v>1.832319352410841</v>
      </c>
      <c r="K1725" s="1">
        <f t="shared" si="1820"/>
        <v>0.44428209211391911</v>
      </c>
      <c r="L1725" s="1">
        <f t="shared" ref="L1725" si="1823">L35</f>
        <v>0.92507679980647883</v>
      </c>
      <c r="N1725" s="1"/>
    </row>
    <row r="1726" spans="2:14" x14ac:dyDescent="0.35">
      <c r="B1726" t="str">
        <f t="shared" si="1807"/>
        <v>SPS1</v>
      </c>
      <c r="C1726" t="str">
        <f t="shared" si="1808"/>
        <v>CH</v>
      </c>
      <c r="D1726" t="s">
        <v>1752</v>
      </c>
      <c r="E1726" t="str">
        <f t="shared" si="1809"/>
        <v>PJ/yr.</v>
      </c>
      <c r="F1726" s="1">
        <f t="shared" ref="F1726:K1739" si="1824">F37</f>
        <v>0</v>
      </c>
      <c r="G1726" s="1">
        <f t="shared" si="1824"/>
        <v>0</v>
      </c>
      <c r="H1726" s="1">
        <f t="shared" si="1824"/>
        <v>0</v>
      </c>
      <c r="I1726" s="1">
        <f t="shared" si="1824"/>
        <v>0</v>
      </c>
      <c r="J1726" s="1">
        <f t="shared" si="1824"/>
        <v>12.015909066333432</v>
      </c>
      <c r="K1726" s="1">
        <f t="shared" si="1824"/>
        <v>13.596364397022537</v>
      </c>
      <c r="L1726" s="1">
        <f t="shared" ref="L1726" si="1825">L37</f>
        <v>50.605063973334872</v>
      </c>
      <c r="N1726" s="1"/>
    </row>
    <row r="1727" spans="2:14" x14ac:dyDescent="0.35">
      <c r="B1727" t="str">
        <f t="shared" si="1807"/>
        <v>SPS1</v>
      </c>
      <c r="C1727" t="str">
        <f t="shared" si="1808"/>
        <v>CH</v>
      </c>
      <c r="D1727" t="s">
        <v>1753</v>
      </c>
      <c r="E1727" t="str">
        <f t="shared" si="1809"/>
        <v>PJ/yr.</v>
      </c>
      <c r="F1727" s="1">
        <f t="shared" si="1824"/>
        <v>0</v>
      </c>
      <c r="G1727" s="1">
        <f t="shared" si="1824"/>
        <v>0</v>
      </c>
      <c r="H1727" s="1">
        <f t="shared" si="1824"/>
        <v>0</v>
      </c>
      <c r="I1727" s="1">
        <f t="shared" si="1824"/>
        <v>0</v>
      </c>
      <c r="J1727" s="1">
        <f t="shared" si="1824"/>
        <v>0</v>
      </c>
      <c r="K1727" s="1">
        <f t="shared" si="1824"/>
        <v>0</v>
      </c>
      <c r="L1727" s="1">
        <f t="shared" ref="L1727" si="1826">L38</f>
        <v>0.73091432353428853</v>
      </c>
      <c r="N1727" s="1"/>
    </row>
    <row r="1728" spans="2:14" x14ac:dyDescent="0.35">
      <c r="B1728" t="str">
        <f t="shared" si="1807"/>
        <v>SPS1</v>
      </c>
      <c r="C1728" t="str">
        <f t="shared" si="1808"/>
        <v>CH</v>
      </c>
      <c r="D1728" t="s">
        <v>1754</v>
      </c>
      <c r="E1728" t="str">
        <f t="shared" si="1809"/>
        <v>PJ/yr.</v>
      </c>
      <c r="F1728" s="1">
        <f t="shared" si="1824"/>
        <v>0</v>
      </c>
      <c r="G1728" s="1">
        <f t="shared" si="1824"/>
        <v>0</v>
      </c>
      <c r="H1728" s="1">
        <f t="shared" si="1824"/>
        <v>0</v>
      </c>
      <c r="I1728" s="1">
        <f t="shared" si="1824"/>
        <v>0</v>
      </c>
      <c r="J1728" s="1">
        <f t="shared" si="1824"/>
        <v>0</v>
      </c>
      <c r="K1728" s="1">
        <f t="shared" si="1824"/>
        <v>0</v>
      </c>
      <c r="L1728" s="1">
        <f t="shared" ref="L1728" si="1827">L39</f>
        <v>0</v>
      </c>
      <c r="N1728" s="1"/>
    </row>
    <row r="1729" spans="2:14" x14ac:dyDescent="0.35">
      <c r="B1729" t="str">
        <f t="shared" si="1807"/>
        <v>SPS1</v>
      </c>
      <c r="C1729" t="str">
        <f t="shared" si="1808"/>
        <v>CH</v>
      </c>
      <c r="D1729" t="s">
        <v>1755</v>
      </c>
      <c r="E1729" t="str">
        <f t="shared" si="1809"/>
        <v>PJ/yr.</v>
      </c>
      <c r="F1729" s="1">
        <f t="shared" si="1824"/>
        <v>0</v>
      </c>
      <c r="G1729" s="1">
        <f t="shared" si="1824"/>
        <v>0</v>
      </c>
      <c r="H1729" s="1">
        <f t="shared" si="1824"/>
        <v>0</v>
      </c>
      <c r="I1729" s="1">
        <f t="shared" si="1824"/>
        <v>0</v>
      </c>
      <c r="J1729" s="1">
        <f t="shared" si="1824"/>
        <v>12.015909066333432</v>
      </c>
      <c r="K1729" s="1">
        <f t="shared" si="1824"/>
        <v>13.596364397022537</v>
      </c>
      <c r="L1729" s="1">
        <f t="shared" ref="L1729" si="1828">L40</f>
        <v>49.874149649800586</v>
      </c>
      <c r="N1729" s="1"/>
    </row>
    <row r="1730" spans="2:14" x14ac:dyDescent="0.35">
      <c r="B1730" t="str">
        <f t="shared" si="1807"/>
        <v>SPS1</v>
      </c>
      <c r="C1730" t="str">
        <f t="shared" si="1808"/>
        <v>CH</v>
      </c>
      <c r="D1730" t="s">
        <v>1756</v>
      </c>
      <c r="E1730" t="str">
        <f t="shared" si="1809"/>
        <v>PJ/yr.</v>
      </c>
      <c r="F1730" s="1">
        <f t="shared" si="1824"/>
        <v>117.15976749455412</v>
      </c>
      <c r="G1730" s="1">
        <f t="shared" si="1824"/>
        <v>107.2365007664997</v>
      </c>
      <c r="H1730" s="1">
        <f t="shared" si="1824"/>
        <v>104.56775421809458</v>
      </c>
      <c r="I1730" s="1">
        <f t="shared" si="1824"/>
        <v>76.748450188333578</v>
      </c>
      <c r="J1730" s="1">
        <f t="shared" si="1824"/>
        <v>52.719944983944416</v>
      </c>
      <c r="K1730" s="1">
        <f t="shared" si="1824"/>
        <v>37.340416954343709</v>
      </c>
      <c r="L1730" s="1">
        <f t="shared" ref="L1730" si="1829">L41</f>
        <v>21.862748821844697</v>
      </c>
      <c r="N1730" s="1"/>
    </row>
    <row r="1731" spans="2:14" x14ac:dyDescent="0.35">
      <c r="B1731" t="str">
        <f t="shared" si="1807"/>
        <v>SPS1</v>
      </c>
      <c r="C1731" t="str">
        <f t="shared" si="1808"/>
        <v>CH</v>
      </c>
      <c r="D1731" t="s">
        <v>1757</v>
      </c>
      <c r="E1731" t="str">
        <f t="shared" si="1809"/>
        <v>PJ/yr.</v>
      </c>
      <c r="F1731" s="1">
        <f t="shared" si="1824"/>
        <v>117.15976749455412</v>
      </c>
      <c r="G1731" s="1">
        <f t="shared" si="1824"/>
        <v>106.72000044170612</v>
      </c>
      <c r="H1731" s="1">
        <f t="shared" si="1824"/>
        <v>103.7806712895097</v>
      </c>
      <c r="I1731" s="1">
        <f t="shared" si="1824"/>
        <v>72.940579807761196</v>
      </c>
      <c r="J1731" s="1">
        <f t="shared" si="1824"/>
        <v>48.722315997846707</v>
      </c>
      <c r="K1731" s="1">
        <f t="shared" si="1824"/>
        <v>31.954033110481241</v>
      </c>
      <c r="L1731" s="1">
        <f t="shared" ref="L1731" si="1830">L42</f>
        <v>19.727025450821333</v>
      </c>
      <c r="N1731" s="1"/>
    </row>
    <row r="1732" spans="2:14" x14ac:dyDescent="0.35">
      <c r="B1732" t="str">
        <f t="shared" si="1807"/>
        <v>SPS1</v>
      </c>
      <c r="C1732" t="str">
        <f t="shared" si="1808"/>
        <v>CH</v>
      </c>
      <c r="D1732" t="s">
        <v>1758</v>
      </c>
      <c r="E1732" t="str">
        <f t="shared" si="1809"/>
        <v>PJ/yr.</v>
      </c>
      <c r="F1732" s="1">
        <f t="shared" si="1824"/>
        <v>117.15976749455412</v>
      </c>
      <c r="G1732" s="1">
        <f t="shared" si="1824"/>
        <v>106.72000044170612</v>
      </c>
      <c r="H1732" s="1">
        <f t="shared" si="1824"/>
        <v>103.7806712895097</v>
      </c>
      <c r="I1732" s="1">
        <f t="shared" si="1824"/>
        <v>72.939768068016818</v>
      </c>
      <c r="J1732" s="1">
        <f t="shared" si="1824"/>
        <v>48.722222269075218</v>
      </c>
      <c r="K1732" s="1">
        <f t="shared" si="1824"/>
        <v>31.953950960433378</v>
      </c>
      <c r="L1732" s="1">
        <f t="shared" ref="L1732" si="1831">L43</f>
        <v>19.726962726706638</v>
      </c>
      <c r="N1732" s="1"/>
    </row>
    <row r="1733" spans="2:14" x14ac:dyDescent="0.35">
      <c r="B1733" t="str">
        <f t="shared" si="1807"/>
        <v>SPS1</v>
      </c>
      <c r="C1733" t="str">
        <f t="shared" si="1808"/>
        <v>CH</v>
      </c>
      <c r="D1733" t="s">
        <v>1759</v>
      </c>
      <c r="E1733" t="str">
        <f t="shared" si="1809"/>
        <v>PJ/yr.</v>
      </c>
      <c r="F1733" s="1">
        <f t="shared" si="1824"/>
        <v>0</v>
      </c>
      <c r="G1733" s="1">
        <f t="shared" si="1824"/>
        <v>0</v>
      </c>
      <c r="H1733" s="1">
        <f t="shared" si="1824"/>
        <v>0</v>
      </c>
      <c r="I1733" s="1">
        <f t="shared" si="1824"/>
        <v>8.1173974437481744E-4</v>
      </c>
      <c r="J1733" s="1">
        <f t="shared" si="1824"/>
        <v>9.3728771485903232E-5</v>
      </c>
      <c r="K1733" s="1">
        <f t="shared" si="1824"/>
        <v>8.215004786223378E-5</v>
      </c>
      <c r="L1733" s="1">
        <f t="shared" ref="L1733" si="1832">L44</f>
        <v>6.2724114696727692E-5</v>
      </c>
      <c r="N1733" s="1"/>
    </row>
    <row r="1734" spans="2:14" x14ac:dyDescent="0.35">
      <c r="B1734" t="str">
        <f t="shared" si="1807"/>
        <v>SPS1</v>
      </c>
      <c r="C1734" t="str">
        <f t="shared" si="1808"/>
        <v>CH</v>
      </c>
      <c r="D1734" t="s">
        <v>1760</v>
      </c>
      <c r="E1734" t="str">
        <f t="shared" si="1809"/>
        <v>PJ/yr.</v>
      </c>
      <c r="F1734" s="1">
        <f t="shared" si="1824"/>
        <v>0</v>
      </c>
      <c r="G1734" s="1">
        <f t="shared" si="1824"/>
        <v>0.51650032479358865</v>
      </c>
      <c r="H1734" s="1">
        <f t="shared" si="1824"/>
        <v>0.78708292858487594</v>
      </c>
      <c r="I1734" s="1">
        <f t="shared" si="1824"/>
        <v>3.8078703805723748</v>
      </c>
      <c r="J1734" s="1">
        <f t="shared" si="1824"/>
        <v>3.9976289860977072</v>
      </c>
      <c r="K1734" s="1">
        <f t="shared" si="1824"/>
        <v>5.38638384386247</v>
      </c>
      <c r="L1734" s="1">
        <f t="shared" ref="L1734" si="1833">L45</f>
        <v>2.1357233710233627</v>
      </c>
      <c r="N1734" s="1"/>
    </row>
    <row r="1735" spans="2:14" x14ac:dyDescent="0.35">
      <c r="B1735" t="str">
        <f t="shared" si="1807"/>
        <v>SPS1</v>
      </c>
      <c r="C1735" t="str">
        <f t="shared" si="1808"/>
        <v>CH</v>
      </c>
      <c r="D1735" t="s">
        <v>1761</v>
      </c>
      <c r="E1735" t="str">
        <f t="shared" si="1809"/>
        <v>PJ/yr.</v>
      </c>
      <c r="F1735" s="1">
        <f t="shared" si="1824"/>
        <v>0</v>
      </c>
      <c r="G1735" s="1">
        <f t="shared" si="1824"/>
        <v>0.51650032479358865</v>
      </c>
      <c r="H1735" s="1">
        <f t="shared" si="1824"/>
        <v>0.78708292858487594</v>
      </c>
      <c r="I1735" s="1">
        <f t="shared" si="1824"/>
        <v>3.8078703805723748</v>
      </c>
      <c r="J1735" s="1">
        <f t="shared" si="1824"/>
        <v>3.8078703805723748</v>
      </c>
      <c r="K1735" s="1">
        <f t="shared" si="1824"/>
        <v>3.9976289860977072</v>
      </c>
      <c r="L1735" s="1">
        <f t="shared" ref="L1735" si="1834">L46</f>
        <v>2.1357233710233627</v>
      </c>
      <c r="N1735" s="1"/>
    </row>
    <row r="1736" spans="2:14" x14ac:dyDescent="0.35">
      <c r="B1736" t="str">
        <f t="shared" si="1807"/>
        <v>SPS1</v>
      </c>
      <c r="C1736" t="str">
        <f t="shared" si="1808"/>
        <v>CH</v>
      </c>
      <c r="D1736" t="s">
        <v>1762</v>
      </c>
      <c r="E1736" t="str">
        <f t="shared" si="1809"/>
        <v>PJ/yr.</v>
      </c>
      <c r="F1736" s="1">
        <f t="shared" si="1824"/>
        <v>0</v>
      </c>
      <c r="G1736" s="1">
        <f t="shared" si="1824"/>
        <v>0.51650032479358865</v>
      </c>
      <c r="H1736" s="1">
        <f t="shared" si="1824"/>
        <v>0.78708292858487594</v>
      </c>
      <c r="I1736" s="1">
        <f t="shared" si="1824"/>
        <v>3.8078703805723748</v>
      </c>
      <c r="J1736" s="1">
        <f t="shared" si="1824"/>
        <v>3.8078703805723748</v>
      </c>
      <c r="K1736" s="1">
        <f t="shared" si="1824"/>
        <v>3.9976289860977072</v>
      </c>
      <c r="L1736" s="1">
        <f t="shared" ref="L1736" si="1835">L47</f>
        <v>2.1357233710233627</v>
      </c>
      <c r="N1736" s="1"/>
    </row>
    <row r="1737" spans="2:14" x14ac:dyDescent="0.35">
      <c r="B1737" t="str">
        <f t="shared" si="1807"/>
        <v>SPS1</v>
      </c>
      <c r="C1737" t="str">
        <f t="shared" si="1808"/>
        <v>CH</v>
      </c>
      <c r="D1737" t="s">
        <v>1763</v>
      </c>
      <c r="E1737" t="str">
        <f t="shared" si="1809"/>
        <v>PJ/yr.</v>
      </c>
      <c r="F1737" s="1">
        <f t="shared" si="1824"/>
        <v>0</v>
      </c>
      <c r="G1737" s="1">
        <f t="shared" si="1824"/>
        <v>0</v>
      </c>
      <c r="H1737" s="1">
        <f t="shared" si="1824"/>
        <v>0</v>
      </c>
      <c r="I1737" s="1">
        <f t="shared" si="1824"/>
        <v>0</v>
      </c>
      <c r="J1737" s="1">
        <f t="shared" si="1824"/>
        <v>0.18975860552533241</v>
      </c>
      <c r="K1737" s="1">
        <f t="shared" si="1824"/>
        <v>1.3887548577647628</v>
      </c>
      <c r="L1737" s="1">
        <f t="shared" ref="L1737" si="1836">L48</f>
        <v>0</v>
      </c>
      <c r="N1737" s="1"/>
    </row>
    <row r="1738" spans="2:14" x14ac:dyDescent="0.35">
      <c r="B1738" t="str">
        <f t="shared" si="1807"/>
        <v>SPS1</v>
      </c>
      <c r="C1738" t="str">
        <f t="shared" si="1808"/>
        <v>CH</v>
      </c>
      <c r="D1738" t="s">
        <v>1764</v>
      </c>
      <c r="E1738" t="str">
        <f t="shared" si="1809"/>
        <v>PJ/yr.</v>
      </c>
      <c r="F1738" s="1">
        <f t="shared" si="1824"/>
        <v>0</v>
      </c>
      <c r="G1738" s="1">
        <f t="shared" si="1824"/>
        <v>0</v>
      </c>
      <c r="H1738" s="1">
        <f t="shared" si="1824"/>
        <v>0</v>
      </c>
      <c r="I1738" s="1">
        <f t="shared" si="1824"/>
        <v>0</v>
      </c>
      <c r="J1738" s="1">
        <f t="shared" si="1824"/>
        <v>0.18975860552533241</v>
      </c>
      <c r="K1738" s="1">
        <f t="shared" si="1824"/>
        <v>1.3887548577647628</v>
      </c>
      <c r="L1738" s="1">
        <f t="shared" ref="L1738" si="1837">L49</f>
        <v>0</v>
      </c>
      <c r="N1738" s="1"/>
    </row>
    <row r="1739" spans="2:14" x14ac:dyDescent="0.35">
      <c r="B1739" t="str">
        <f t="shared" si="1807"/>
        <v>SPS1</v>
      </c>
      <c r="C1739" t="str">
        <f t="shared" si="1808"/>
        <v>CH</v>
      </c>
      <c r="D1739" t="s">
        <v>1765</v>
      </c>
      <c r="E1739" t="str">
        <f t="shared" si="1809"/>
        <v>PJ/yr.</v>
      </c>
      <c r="F1739" s="1">
        <f t="shared" si="1824"/>
        <v>250.94818946672058</v>
      </c>
      <c r="G1739" s="1">
        <f t="shared" si="1824"/>
        <v>253.29988506627492</v>
      </c>
      <c r="H1739" s="1">
        <f t="shared" si="1824"/>
        <v>232.95381994855765</v>
      </c>
      <c r="I1739" s="1">
        <f t="shared" si="1824"/>
        <v>210.9902588219237</v>
      </c>
      <c r="J1739" s="1">
        <f t="shared" si="1824"/>
        <v>167.60363837156825</v>
      </c>
      <c r="K1739" s="1">
        <f t="shared" si="1824"/>
        <v>98.945498934149086</v>
      </c>
      <c r="L1739" s="1">
        <f t="shared" ref="L1739" si="1838">L50</f>
        <v>0</v>
      </c>
      <c r="N1739" s="1"/>
    </row>
    <row r="1740" spans="2:14" x14ac:dyDescent="0.35">
      <c r="B1740" t="str">
        <f t="shared" si="1807"/>
        <v>SPS1</v>
      </c>
      <c r="C1740" t="str">
        <f t="shared" si="1808"/>
        <v>CH</v>
      </c>
      <c r="D1740" t="s">
        <v>1766</v>
      </c>
      <c r="E1740" t="str">
        <f t="shared" si="1809"/>
        <v>PJ/yr.</v>
      </c>
      <c r="F1740" s="1">
        <f t="shared" ref="F1740:K1740" si="1839">-F58+F51</f>
        <v>-20.010002021061908</v>
      </c>
      <c r="G1740" s="1">
        <f t="shared" si="1839"/>
        <v>15.158614499283424</v>
      </c>
      <c r="H1740" s="1">
        <f t="shared" si="1839"/>
        <v>-22.488986991576951</v>
      </c>
      <c r="I1740" s="1">
        <f t="shared" si="1839"/>
        <v>-18.830190969310607</v>
      </c>
      <c r="J1740" s="1">
        <f t="shared" si="1839"/>
        <v>21.114728046503821</v>
      </c>
      <c r="K1740" s="1">
        <f t="shared" si="1839"/>
        <v>21.198126827639353</v>
      </c>
      <c r="L1740" s="1">
        <f t="shared" ref="L1740" si="1840">-L58+L51</f>
        <v>23.613235849917416</v>
      </c>
      <c r="N1740" s="1"/>
    </row>
    <row r="1741" spans="2:14" x14ac:dyDescent="0.35">
      <c r="B1741" t="str">
        <f t="shared" si="1807"/>
        <v>SPS1</v>
      </c>
      <c r="C1741" t="str">
        <f t="shared" si="1808"/>
        <v>CH</v>
      </c>
      <c r="D1741" t="s">
        <v>1767</v>
      </c>
      <c r="E1741" t="str">
        <f t="shared" si="1809"/>
        <v>PJ/yr.</v>
      </c>
      <c r="F1741" s="1">
        <f t="shared" ref="F1741:K1741" si="1841">F56</f>
        <v>0</v>
      </c>
      <c r="G1741" s="1">
        <f t="shared" si="1841"/>
        <v>0</v>
      </c>
      <c r="H1741" s="1">
        <f t="shared" si="1841"/>
        <v>0</v>
      </c>
      <c r="I1741" s="1">
        <f t="shared" si="1841"/>
        <v>0</v>
      </c>
      <c r="J1741" s="1">
        <f t="shared" si="1841"/>
        <v>0</v>
      </c>
      <c r="K1741" s="1">
        <f t="shared" si="1841"/>
        <v>0.29967135366121012</v>
      </c>
      <c r="L1741" s="1">
        <f t="shared" ref="L1741" si="1842">L56</f>
        <v>0.29967144652224964</v>
      </c>
      <c r="N1741" s="1"/>
    </row>
    <row r="1742" spans="2:14" x14ac:dyDescent="0.35">
      <c r="B1742" t="str">
        <f t="shared" si="1807"/>
        <v>SPS1</v>
      </c>
      <c r="C1742" t="str">
        <f t="shared" si="1808"/>
        <v>CH</v>
      </c>
      <c r="D1742" t="s">
        <v>1769</v>
      </c>
      <c r="E1742" t="str">
        <f t="shared" ref="E1742:K1751" si="1843">E3</f>
        <v>PJ/yr.</v>
      </c>
      <c r="F1742" s="1">
        <f t="shared" si="1843"/>
        <v>44.972435036322395</v>
      </c>
      <c r="G1742" s="1">
        <f t="shared" si="1843"/>
        <v>48.190474936972819</v>
      </c>
      <c r="H1742" s="1">
        <f t="shared" si="1843"/>
        <v>49.768347685383006</v>
      </c>
      <c r="I1742" s="1">
        <f t="shared" si="1843"/>
        <v>49.76847966243723</v>
      </c>
      <c r="J1742" s="1">
        <f t="shared" si="1843"/>
        <v>50.156162960733951</v>
      </c>
      <c r="K1742" s="1">
        <f t="shared" si="1843"/>
        <v>50.156163047057348</v>
      </c>
      <c r="L1742" s="1">
        <f t="shared" ref="L1742" si="1844">L3</f>
        <v>50.156163182566367</v>
      </c>
      <c r="N1742" s="1"/>
    </row>
    <row r="1743" spans="2:14" x14ac:dyDescent="0.35">
      <c r="B1743" t="str">
        <f t="shared" si="1807"/>
        <v>SPS1</v>
      </c>
      <c r="C1743" t="str">
        <f t="shared" si="1808"/>
        <v>CH</v>
      </c>
      <c r="D1743" t="s">
        <v>1770</v>
      </c>
      <c r="E1743" t="str">
        <f t="shared" si="1843"/>
        <v>PJ/yr.</v>
      </c>
      <c r="F1743" s="1">
        <f t="shared" si="1843"/>
        <v>11.111878547547727</v>
      </c>
      <c r="G1743" s="1">
        <f t="shared" si="1843"/>
        <v>11.95288628103493</v>
      </c>
      <c r="H1743" s="1">
        <f t="shared" si="1843"/>
        <v>13.21439331295667</v>
      </c>
      <c r="I1743" s="1">
        <f t="shared" si="1843"/>
        <v>15.316911318714144</v>
      </c>
      <c r="J1743" s="1">
        <f t="shared" si="1843"/>
        <v>15.849139727206524</v>
      </c>
      <c r="K1743" s="1">
        <f t="shared" si="1843"/>
        <v>16.266396700864433</v>
      </c>
      <c r="L1743" s="1">
        <f t="shared" ref="L1743" si="1845">L4</f>
        <v>16.956994231215972</v>
      </c>
      <c r="N1743" s="1"/>
    </row>
    <row r="1744" spans="2:14" x14ac:dyDescent="0.35">
      <c r="B1744" t="str">
        <f t="shared" si="1807"/>
        <v>SPS1</v>
      </c>
      <c r="C1744" t="str">
        <f t="shared" si="1808"/>
        <v>CH</v>
      </c>
      <c r="D1744" t="s">
        <v>1771</v>
      </c>
      <c r="E1744" t="str">
        <f t="shared" si="1843"/>
        <v>PJ/yr.</v>
      </c>
      <c r="F1744" s="1">
        <f t="shared" si="1843"/>
        <v>7.5116716224354203</v>
      </c>
      <c r="G1744" s="1">
        <f t="shared" si="1843"/>
        <v>7.543144084538147</v>
      </c>
      <c r="H1744" s="1">
        <f t="shared" si="1843"/>
        <v>7.590348187396585</v>
      </c>
      <c r="I1744" s="1">
        <f t="shared" si="1843"/>
        <v>7.6690269584215116</v>
      </c>
      <c r="J1744" s="1">
        <f t="shared" si="1843"/>
        <v>7.6690267522549851</v>
      </c>
      <c r="K1744" s="1">
        <f t="shared" si="1843"/>
        <v>7.6690268061123446</v>
      </c>
      <c r="L1744" s="1">
        <f t="shared" ref="L1744" si="1846">L5</f>
        <v>7.669026847221116</v>
      </c>
      <c r="N1744" s="1"/>
    </row>
    <row r="1745" spans="2:14" x14ac:dyDescent="0.35">
      <c r="B1745" t="str">
        <f t="shared" si="1807"/>
        <v>SPS1</v>
      </c>
      <c r="C1745" t="str">
        <f t="shared" si="1808"/>
        <v>CH</v>
      </c>
      <c r="D1745" t="s">
        <v>1772</v>
      </c>
      <c r="E1745" t="str">
        <f t="shared" si="1843"/>
        <v>PJ/yr.</v>
      </c>
      <c r="F1745" s="1">
        <f t="shared" si="1843"/>
        <v>3.168245391696475</v>
      </c>
      <c r="G1745" s="1">
        <f t="shared" si="1843"/>
        <v>3.495672889927893</v>
      </c>
      <c r="H1745" s="1">
        <f t="shared" si="1843"/>
        <v>3.9868143719520486</v>
      </c>
      <c r="I1745" s="1">
        <f t="shared" si="1843"/>
        <v>4.8053861177913157</v>
      </c>
      <c r="J1745" s="1">
        <f t="shared" si="1843"/>
        <v>4.8053860657936882</v>
      </c>
      <c r="K1745" s="1">
        <f t="shared" si="1843"/>
        <v>4.805386132099116</v>
      </c>
      <c r="L1745" s="1">
        <f t="shared" ref="L1745" si="1847">L6</f>
        <v>4.8053861673221476</v>
      </c>
      <c r="N1745" s="1"/>
    </row>
    <row r="1746" spans="2:14" x14ac:dyDescent="0.35">
      <c r="B1746" t="str">
        <f t="shared" si="1807"/>
        <v>SPS1</v>
      </c>
      <c r="C1746" t="str">
        <f t="shared" si="1808"/>
        <v>CH</v>
      </c>
      <c r="D1746" t="s">
        <v>1773</v>
      </c>
      <c r="E1746" t="str">
        <f t="shared" si="1843"/>
        <v>PJ/yr.</v>
      </c>
      <c r="F1746" s="1">
        <f t="shared" si="1843"/>
        <v>23.180639474642774</v>
      </c>
      <c r="G1746" s="1">
        <f t="shared" si="1843"/>
        <v>25.198771681471847</v>
      </c>
      <c r="H1746" s="1">
        <f t="shared" si="1843"/>
        <v>24.976791813077703</v>
      </c>
      <c r="I1746" s="1">
        <f t="shared" si="1843"/>
        <v>21.977155267510255</v>
      </c>
      <c r="J1746" s="1">
        <f t="shared" si="1843"/>
        <v>21.832610415478754</v>
      </c>
      <c r="K1746" s="1">
        <f t="shared" si="1843"/>
        <v>21.415353407981456</v>
      </c>
      <c r="L1746" s="1">
        <f t="shared" ref="L1746" si="1848">L7</f>
        <v>20.724755936807131</v>
      </c>
      <c r="N1746" s="1"/>
    </row>
    <row r="1747" spans="2:14" x14ac:dyDescent="0.35">
      <c r="B1747" t="str">
        <f t="shared" si="1807"/>
        <v>SPS1</v>
      </c>
      <c r="C1747" t="str">
        <f t="shared" si="1808"/>
        <v>CH</v>
      </c>
      <c r="D1747" t="s">
        <v>1774</v>
      </c>
      <c r="E1747" t="str">
        <f t="shared" si="1843"/>
        <v>PJ/yr.</v>
      </c>
      <c r="F1747" s="1">
        <f t="shared" si="1843"/>
        <v>70.031517150567737</v>
      </c>
      <c r="G1747" s="1">
        <f t="shared" si="1843"/>
        <v>70.097157853916258</v>
      </c>
      <c r="H1747" s="1">
        <f t="shared" si="1843"/>
        <v>69.498225229629725</v>
      </c>
      <c r="I1747" s="1">
        <f t="shared" si="1843"/>
        <v>71.102491773561155</v>
      </c>
      <c r="J1747" s="1">
        <f t="shared" si="1843"/>
        <v>72.390914816928472</v>
      </c>
      <c r="K1747" s="1">
        <f t="shared" si="1843"/>
        <v>72.856972721173975</v>
      </c>
      <c r="L1747" s="1">
        <f t="shared" ref="L1747" si="1849">L8</f>
        <v>73.306229778230488</v>
      </c>
      <c r="N1747" s="1"/>
    </row>
    <row r="1748" spans="2:14" x14ac:dyDescent="0.35">
      <c r="B1748" t="str">
        <f t="shared" si="1807"/>
        <v>SPS1</v>
      </c>
      <c r="C1748" t="str">
        <f t="shared" si="1808"/>
        <v>CH</v>
      </c>
      <c r="D1748" t="s">
        <v>1775</v>
      </c>
      <c r="E1748" t="str">
        <f t="shared" si="1843"/>
        <v>PJ/yr.</v>
      </c>
      <c r="F1748" s="1">
        <f t="shared" si="1843"/>
        <v>35.931077297064711</v>
      </c>
      <c r="G1748" s="1">
        <f t="shared" si="1843"/>
        <v>35.882385651782826</v>
      </c>
      <c r="H1748" s="1">
        <f t="shared" si="1843"/>
        <v>35.283441839682261</v>
      </c>
      <c r="I1748" s="1">
        <f t="shared" si="1843"/>
        <v>35.060088143644727</v>
      </c>
      <c r="J1748" s="1">
        <f t="shared" si="1843"/>
        <v>34.937583637108645</v>
      </c>
      <c r="K1748" s="1">
        <f t="shared" si="1843"/>
        <v>35.403639034827073</v>
      </c>
      <c r="L1748" s="1">
        <f t="shared" ref="L1748" si="1850">L9</f>
        <v>35.852894127031519</v>
      </c>
      <c r="N1748" s="1"/>
    </row>
    <row r="1749" spans="2:14" x14ac:dyDescent="0.35">
      <c r="B1749" t="str">
        <f t="shared" si="1807"/>
        <v>SPS1</v>
      </c>
      <c r="C1749" t="str">
        <f t="shared" si="1808"/>
        <v>CH</v>
      </c>
      <c r="D1749" t="s">
        <v>1776</v>
      </c>
      <c r="E1749" t="str">
        <f t="shared" si="1843"/>
        <v>PJ/yr.</v>
      </c>
      <c r="F1749" s="1">
        <f t="shared" si="1843"/>
        <v>34.100439853503033</v>
      </c>
      <c r="G1749" s="1">
        <f t="shared" si="1843"/>
        <v>34.214772202133425</v>
      </c>
      <c r="H1749" s="1">
        <f t="shared" si="1843"/>
        <v>34.214783389947463</v>
      </c>
      <c r="I1749" s="1">
        <f t="shared" si="1843"/>
        <v>36.042403629916436</v>
      </c>
      <c r="J1749" s="1">
        <f t="shared" si="1843"/>
        <v>37.453331179819834</v>
      </c>
      <c r="K1749" s="1">
        <f t="shared" si="1843"/>
        <v>37.453333686346895</v>
      </c>
      <c r="L1749" s="1">
        <f t="shared" ref="L1749" si="1851">L10</f>
        <v>37.453335651198977</v>
      </c>
      <c r="N1749" s="1"/>
    </row>
    <row r="1750" spans="2:14" x14ac:dyDescent="0.35">
      <c r="B1750" t="str">
        <f t="shared" si="1807"/>
        <v>SPS1</v>
      </c>
      <c r="C1750" t="str">
        <f t="shared" si="1808"/>
        <v>CH</v>
      </c>
      <c r="D1750" t="s">
        <v>1777</v>
      </c>
      <c r="E1750" t="str">
        <f t="shared" si="1843"/>
        <v>PJ/yr.</v>
      </c>
      <c r="F1750" s="1">
        <f t="shared" si="1843"/>
        <v>3.798091949303426</v>
      </c>
      <c r="G1750" s="1">
        <f t="shared" si="1843"/>
        <v>10.103738166172031</v>
      </c>
      <c r="H1750" s="1">
        <f t="shared" si="1843"/>
        <v>12.540177973050511</v>
      </c>
      <c r="I1750" s="1">
        <f t="shared" si="1843"/>
        <v>12.540421597216916</v>
      </c>
      <c r="J1750" s="1">
        <f t="shared" si="1843"/>
        <v>12.540425504546596</v>
      </c>
      <c r="K1750" s="1">
        <f t="shared" si="1843"/>
        <v>14.509033266437543</v>
      </c>
      <c r="L1750" s="1">
        <f t="shared" ref="L1750" si="1852">L11</f>
        <v>26.817094997174699</v>
      </c>
      <c r="N1750" s="1"/>
    </row>
    <row r="1751" spans="2:14" x14ac:dyDescent="0.35">
      <c r="B1751" t="str">
        <f t="shared" si="1807"/>
        <v>SPS1</v>
      </c>
      <c r="C1751" t="str">
        <f t="shared" si="1808"/>
        <v>CH</v>
      </c>
      <c r="D1751" t="s">
        <v>1778</v>
      </c>
      <c r="E1751" t="str">
        <f t="shared" si="1843"/>
        <v>PJ/yr.</v>
      </c>
      <c r="F1751" s="1">
        <f t="shared" si="1843"/>
        <v>149.43048395881004</v>
      </c>
      <c r="G1751" s="1">
        <f t="shared" si="1843"/>
        <v>125.60698324405315</v>
      </c>
      <c r="H1751" s="1">
        <f t="shared" si="1843"/>
        <v>137.14139880288545</v>
      </c>
      <c r="I1751" s="1">
        <f t="shared" si="1843"/>
        <v>151.25678959878701</v>
      </c>
      <c r="J1751" s="1">
        <f t="shared" si="1843"/>
        <v>151.42700278896996</v>
      </c>
      <c r="K1751" s="1">
        <f t="shared" si="1843"/>
        <v>151.85898002482512</v>
      </c>
      <c r="L1751" s="1">
        <f t="shared" ref="L1751" si="1853">L12</f>
        <v>152.30386097998445</v>
      </c>
      <c r="N1751" s="1"/>
    </row>
    <row r="1752" spans="2:14" x14ac:dyDescent="0.35">
      <c r="B1752" t="str">
        <f t="shared" si="1807"/>
        <v>SPS1</v>
      </c>
      <c r="C1752" t="str">
        <f t="shared" si="1808"/>
        <v>CH</v>
      </c>
      <c r="D1752" t="s">
        <v>1779</v>
      </c>
      <c r="E1752" t="str">
        <f t="shared" ref="E1752:K1758" si="1854">E13</f>
        <v>PJ/yr.</v>
      </c>
      <c r="F1752" s="1">
        <f t="shared" si="1854"/>
        <v>66.745680112610472</v>
      </c>
      <c r="G1752" s="1">
        <f t="shared" si="1854"/>
        <v>49.798797638350962</v>
      </c>
      <c r="H1752" s="1">
        <f t="shared" si="1854"/>
        <v>69.090669467554392</v>
      </c>
      <c r="I1752" s="1">
        <f t="shared" si="1854"/>
        <v>70.809472620928375</v>
      </c>
      <c r="J1752" s="1">
        <f t="shared" si="1854"/>
        <v>71.92488130314247</v>
      </c>
      <c r="K1752" s="1">
        <f t="shared" si="1854"/>
        <v>72.955947959382129</v>
      </c>
      <c r="L1752" s="1">
        <f t="shared" ref="L1752" si="1855">L13</f>
        <v>74.836042114965252</v>
      </c>
      <c r="N1752" s="1"/>
    </row>
    <row r="1753" spans="2:14" x14ac:dyDescent="0.35">
      <c r="B1753" t="str">
        <f t="shared" si="1807"/>
        <v>SPS1</v>
      </c>
      <c r="C1753" t="str">
        <f t="shared" si="1808"/>
        <v>CH</v>
      </c>
      <c r="D1753" t="s">
        <v>1780</v>
      </c>
      <c r="E1753" t="str">
        <f t="shared" si="1854"/>
        <v>PJ/yr.</v>
      </c>
      <c r="F1753" s="1">
        <f t="shared" si="1854"/>
        <v>66.632401302559771</v>
      </c>
      <c r="G1753" s="1">
        <f t="shared" si="1854"/>
        <v>55.763999499234785</v>
      </c>
      <c r="H1753" s="1">
        <f t="shared" si="1854"/>
        <v>65.55693882909793</v>
      </c>
      <c r="I1753" s="1">
        <f t="shared" si="1854"/>
        <v>64.509539778207909</v>
      </c>
      <c r="J1753" s="1">
        <f t="shared" si="1854"/>
        <v>63.393434092366533</v>
      </c>
      <c r="K1753" s="1">
        <f t="shared" si="1854"/>
        <v>62.362367651452743</v>
      </c>
      <c r="L1753" s="1">
        <f t="shared" ref="L1753" si="1856">L14</f>
        <v>60.482273607774367</v>
      </c>
      <c r="N1753" s="1"/>
    </row>
    <row r="1754" spans="2:14" x14ac:dyDescent="0.35">
      <c r="B1754" t="str">
        <f t="shared" si="1807"/>
        <v>SPS1</v>
      </c>
      <c r="C1754" t="str">
        <f t="shared" si="1808"/>
        <v>CH</v>
      </c>
      <c r="D1754" t="s">
        <v>1781</v>
      </c>
      <c r="E1754" t="str">
        <f t="shared" si="1854"/>
        <v>PJ/yr.</v>
      </c>
      <c r="F1754" s="1">
        <f t="shared" si="1854"/>
        <v>16.052402543639801</v>
      </c>
      <c r="G1754" s="1">
        <f t="shared" si="1854"/>
        <v>20.044186106467407</v>
      </c>
      <c r="H1754" s="1">
        <f t="shared" si="1854"/>
        <v>2.4937905062331391</v>
      </c>
      <c r="I1754" s="1">
        <f t="shared" si="1854"/>
        <v>15.937777199650721</v>
      </c>
      <c r="J1754" s="1">
        <f t="shared" si="1854"/>
        <v>16.108687393460961</v>
      </c>
      <c r="K1754" s="1">
        <f t="shared" si="1854"/>
        <v>16.540664413990235</v>
      </c>
      <c r="L1754" s="1">
        <f t="shared" ref="L1754" si="1857">L15</f>
        <v>16.98554525724483</v>
      </c>
      <c r="N1754" s="1"/>
    </row>
    <row r="1755" spans="2:14" x14ac:dyDescent="0.35">
      <c r="B1755" t="str">
        <f t="shared" si="1807"/>
        <v>SPS1</v>
      </c>
      <c r="C1755" t="str">
        <f t="shared" si="1808"/>
        <v>CH</v>
      </c>
      <c r="D1755" t="s">
        <v>1782</v>
      </c>
      <c r="E1755" t="str">
        <f t="shared" si="1854"/>
        <v>PJ/yr.</v>
      </c>
      <c r="F1755" s="1">
        <f t="shared" si="1854"/>
        <v>12.556476983150077</v>
      </c>
      <c r="G1755" s="1">
        <f t="shared" si="1854"/>
        <v>16.522291880887948</v>
      </c>
      <c r="H1755" s="1">
        <f t="shared" si="1854"/>
        <v>30.431207350638559</v>
      </c>
      <c r="I1755" s="1">
        <f t="shared" si="1854"/>
        <v>52.839375045989406</v>
      </c>
      <c r="J1755" s="1">
        <f t="shared" si="1854"/>
        <v>63.875248907666766</v>
      </c>
      <c r="K1755" s="1">
        <f t="shared" si="1854"/>
        <v>93.321775214656739</v>
      </c>
      <c r="L1755" s="1">
        <f t="shared" ref="L1755" si="1858">L16</f>
        <v>123.59812898269315</v>
      </c>
      <c r="N1755" s="1"/>
    </row>
    <row r="1756" spans="2:14" x14ac:dyDescent="0.35">
      <c r="B1756" t="str">
        <f t="shared" si="1807"/>
        <v>SPS1</v>
      </c>
      <c r="C1756" t="str">
        <f t="shared" si="1808"/>
        <v>CH</v>
      </c>
      <c r="D1756" t="s">
        <v>1783</v>
      </c>
      <c r="E1756" t="str">
        <f t="shared" si="1854"/>
        <v>PJ/yr.</v>
      </c>
      <c r="F1756" s="1">
        <f t="shared" si="1854"/>
        <v>0.52400705162755912</v>
      </c>
      <c r="G1756" s="1">
        <f t="shared" si="1854"/>
        <v>0.54529350454171022</v>
      </c>
      <c r="H1756" s="1">
        <f t="shared" si="1854"/>
        <v>0.5031661036118501</v>
      </c>
      <c r="I1756" s="1">
        <f t="shared" si="1854"/>
        <v>2.0502672024973938</v>
      </c>
      <c r="J1756" s="1">
        <f t="shared" si="1854"/>
        <v>3.6358959082231244</v>
      </c>
      <c r="K1756" s="1">
        <f t="shared" si="1854"/>
        <v>7.1993346019722031</v>
      </c>
      <c r="L1756" s="1">
        <f t="shared" ref="L1756" si="1859">L17</f>
        <v>9.3572354982146368</v>
      </c>
      <c r="N1756" s="1"/>
    </row>
    <row r="1757" spans="2:14" x14ac:dyDescent="0.35">
      <c r="B1757" t="str">
        <f t="shared" si="1807"/>
        <v>SPS1</v>
      </c>
      <c r="C1757" t="str">
        <f t="shared" si="1808"/>
        <v>CH</v>
      </c>
      <c r="D1757" t="s">
        <v>1784</v>
      </c>
      <c r="E1757" t="str">
        <f t="shared" si="1854"/>
        <v>PJ/yr.</v>
      </c>
      <c r="F1757" s="1">
        <f t="shared" si="1854"/>
        <v>18.873073128937065</v>
      </c>
      <c r="G1757" s="1">
        <f t="shared" si="1854"/>
        <v>21.778144888896051</v>
      </c>
      <c r="H1757" s="1">
        <f t="shared" si="1854"/>
        <v>31.839441606679685</v>
      </c>
      <c r="I1757" s="1">
        <f t="shared" si="1854"/>
        <v>60.120259082533238</v>
      </c>
      <c r="J1757" s="1">
        <f t="shared" si="1854"/>
        <v>76.249590196768196</v>
      </c>
      <c r="K1757" s="1">
        <f t="shared" si="1854"/>
        <v>92.753668945349986</v>
      </c>
      <c r="L1757" s="1">
        <f t="shared" ref="L1757" si="1860">L18</f>
        <v>101.62972220648936</v>
      </c>
      <c r="N1757" s="1"/>
    </row>
    <row r="1758" spans="2:14" x14ac:dyDescent="0.35">
      <c r="B1758" t="str">
        <f t="shared" si="1807"/>
        <v>SPS1</v>
      </c>
      <c r="C1758" t="str">
        <f t="shared" si="1808"/>
        <v>CH</v>
      </c>
      <c r="D1758" t="s">
        <v>1785</v>
      </c>
      <c r="E1758" t="str">
        <f t="shared" si="1854"/>
        <v>PJ/yr.</v>
      </c>
      <c r="F1758" s="1">
        <f t="shared" si="1854"/>
        <v>0</v>
      </c>
      <c r="G1758" s="1">
        <f t="shared" si="1854"/>
        <v>0</v>
      </c>
      <c r="H1758" s="1">
        <f t="shared" si="1854"/>
        <v>0</v>
      </c>
      <c r="I1758" s="1">
        <f t="shared" si="1854"/>
        <v>0</v>
      </c>
      <c r="J1758" s="1">
        <f t="shared" si="1854"/>
        <v>0</v>
      </c>
      <c r="K1758" s="1">
        <f t="shared" si="1854"/>
        <v>7.2453721071848104E-3</v>
      </c>
      <c r="L1758" s="1">
        <f t="shared" ref="L1758" si="1861">L19</f>
        <v>44.245232746810736</v>
      </c>
      <c r="N1758" s="1"/>
    </row>
    <row r="1759" spans="2:14" x14ac:dyDescent="0.35">
      <c r="B1759" s="9" t="str">
        <f t="shared" si="1807"/>
        <v>SPS1</v>
      </c>
      <c r="C1759" s="2" t="str">
        <f t="shared" si="1808"/>
        <v>CH</v>
      </c>
      <c r="D1759" s="2" t="s">
        <v>1788</v>
      </c>
      <c r="E1759" s="2" t="s">
        <v>1857</v>
      </c>
      <c r="F1759" s="3">
        <f t="shared" ref="F1759:K1759" si="1862">SUM(F1760,F1762,F1766,F1770,F1786,F1793,F1801,F1803,F1811,F1815,F1809)</f>
        <v>22.340396442474471</v>
      </c>
      <c r="G1759" s="3">
        <f t="shared" si="1862"/>
        <v>24.357108581457624</v>
      </c>
      <c r="H1759" s="3">
        <f t="shared" si="1862"/>
        <v>29.807673264933751</v>
      </c>
      <c r="I1759" s="3">
        <f t="shared" si="1862"/>
        <v>35.60369195913713</v>
      </c>
      <c r="J1759" s="3">
        <f t="shared" si="1862"/>
        <v>38.675189688719811</v>
      </c>
      <c r="K1759" s="3">
        <f t="shared" si="1862"/>
        <v>47.832123919259359</v>
      </c>
      <c r="L1759" s="3">
        <f t="shared" ref="L1759" si="1863">SUM(L1760,L1762,L1766,L1770,L1786,L1793,L1801,L1803,L1811,L1815,L1809)</f>
        <v>55.82215068769095</v>
      </c>
      <c r="N1759" s="1"/>
    </row>
    <row r="1760" spans="2:14" x14ac:dyDescent="0.35">
      <c r="B1760" s="5" t="str">
        <f t="shared" si="1807"/>
        <v>SPS1</v>
      </c>
      <c r="C1760" s="5" t="str">
        <f t="shared" si="1808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64">+G1761</f>
        <v>3.0805583384938005</v>
      </c>
      <c r="H1760" s="1">
        <f t="shared" si="1864"/>
        <v>2.8402406802836504</v>
      </c>
      <c r="I1760" s="1">
        <f t="shared" si="1864"/>
        <v>2.6090413436622204</v>
      </c>
      <c r="J1760" s="1">
        <f t="shared" si="1864"/>
        <v>2.0753297939582636</v>
      </c>
      <c r="K1760" s="1">
        <f t="shared" si="1864"/>
        <v>1.2356851844506809</v>
      </c>
      <c r="L1760" s="1">
        <f t="shared" si="1864"/>
        <v>0</v>
      </c>
      <c r="N1760" s="1"/>
    </row>
    <row r="1761" spans="2:14" x14ac:dyDescent="0.35">
      <c r="B1761" s="5" t="str">
        <f t="shared" si="1807"/>
        <v>SPS1</v>
      </c>
      <c r="C1761" s="5" t="str">
        <f t="shared" si="1808"/>
        <v>CH</v>
      </c>
      <c r="D1761" t="s">
        <v>1791</v>
      </c>
      <c r="E1761" t="str">
        <f t="shared" ref="E1761:E1822" si="1865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2.0753297939582636</v>
      </c>
      <c r="K1761" s="1">
        <f>'[2]Electricity and CHPs_CAP'!G$14</f>
        <v>1.2356851844506809</v>
      </c>
      <c r="L1761" s="1">
        <f>'[2]Electricity and CHPs_CAP'!H$14</f>
        <v>0</v>
      </c>
      <c r="N1761" s="1"/>
    </row>
    <row r="1762" spans="2:14" x14ac:dyDescent="0.35">
      <c r="B1762" s="5" t="str">
        <f t="shared" si="1807"/>
        <v>SPS1</v>
      </c>
      <c r="C1762" s="5" t="str">
        <f t="shared" si="1808"/>
        <v>CH</v>
      </c>
      <c r="D1762" t="s">
        <v>1792</v>
      </c>
      <c r="E1762" t="str">
        <f t="shared" si="1865"/>
        <v>GWe/yr.</v>
      </c>
      <c r="F1762" s="1">
        <f>SUM(F1763:F1765)</f>
        <v>15.403610001059999</v>
      </c>
      <c r="G1762" s="1">
        <f t="shared" ref="G1762:K1762" si="1866">SUM(G1763:G1765)</f>
        <v>16.121225270466404</v>
      </c>
      <c r="H1762" s="1">
        <f t="shared" si="1866"/>
        <v>16.612343913144187</v>
      </c>
      <c r="I1762" s="1">
        <f t="shared" si="1866"/>
        <v>16.647148960358582</v>
      </c>
      <c r="J1762" s="1">
        <f t="shared" si="1866"/>
        <v>16.692798625859453</v>
      </c>
      <c r="K1762" s="1">
        <f t="shared" si="1866"/>
        <v>16.855001088431816</v>
      </c>
      <c r="L1762" s="1">
        <f t="shared" ref="L1762" si="1867">SUM(L1763:L1765)</f>
        <v>16.980825153475784</v>
      </c>
      <c r="N1762" s="1"/>
    </row>
    <row r="1763" spans="2:14" x14ac:dyDescent="0.35">
      <c r="B1763" s="5" t="str">
        <f t="shared" si="1807"/>
        <v>SPS1</v>
      </c>
      <c r="C1763" s="5" t="str">
        <f t="shared" si="1808"/>
        <v>CH</v>
      </c>
      <c r="D1763" t="s">
        <v>1793</v>
      </c>
      <c r="E1763" t="str">
        <f t="shared" si="1865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7.4650351088567799</v>
      </c>
      <c r="K1763" s="1">
        <f>'[2]Electricity and CHPs_CAP'!G$15</f>
        <v>7.6234162578770022</v>
      </c>
      <c r="L1763" s="1">
        <f>'[2]Electricity and CHPs_CAP'!H$15</f>
        <v>7.7286523162665857</v>
      </c>
      <c r="N1763" s="1"/>
    </row>
    <row r="1764" spans="2:14" x14ac:dyDescent="0.35">
      <c r="B1764" s="5" t="str">
        <f t="shared" si="1807"/>
        <v>SPS1</v>
      </c>
      <c r="C1764" s="5" t="str">
        <f t="shared" si="1808"/>
        <v>CH</v>
      </c>
      <c r="D1764" t="s">
        <v>1794</v>
      </c>
      <c r="E1764" t="str">
        <f t="shared" si="1865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4.868290023637635</v>
      </c>
      <c r="K1764" s="1">
        <f>'[2]Electricity and CHPs_CAP'!G$16</f>
        <v>4.8721113205235937</v>
      </c>
      <c r="L1764" s="1">
        <f>'[2]Electricity and CHPs_CAP'!H$16</f>
        <v>4.892699292631125</v>
      </c>
      <c r="N1764" s="1"/>
    </row>
    <row r="1765" spans="2:14" x14ac:dyDescent="0.35">
      <c r="B1765" s="5" t="str">
        <f t="shared" si="1807"/>
        <v>SPS1</v>
      </c>
      <c r="C1765" s="5" t="str">
        <f t="shared" si="1808"/>
        <v>CH</v>
      </c>
      <c r="D1765" t="s">
        <v>1795</v>
      </c>
      <c r="E1765" t="str">
        <f t="shared" si="1865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4.3594734933650363</v>
      </c>
      <c r="K1765" s="1">
        <f>'[2]Electricity and CHPs_CAP'!G$17</f>
        <v>4.3594735100312194</v>
      </c>
      <c r="L1765" s="1">
        <f>'[2]Electricity and CHPs_CAP'!H$17</f>
        <v>4.3594735445780746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5"/>
        <v>GWe/yr.</v>
      </c>
      <c r="F1766" s="1">
        <f>SUM(F1767:F1769)</f>
        <v>3.8208823398465264E-2</v>
      </c>
      <c r="G1766" s="1">
        <f t="shared" ref="G1766:K1766" si="1868">SUM(G1767:G1769)</f>
        <v>4.1599708276928951E-2</v>
      </c>
      <c r="H1766" s="1">
        <f t="shared" si="1868"/>
        <v>3.3173743545318372E-2</v>
      </c>
      <c r="I1766" s="1">
        <f t="shared" si="1868"/>
        <v>5.9276360722297437E-2</v>
      </c>
      <c r="J1766" s="1">
        <f t="shared" si="1868"/>
        <v>5.162499066323558E-2</v>
      </c>
      <c r="K1766" s="1">
        <f t="shared" si="1868"/>
        <v>5.4393011125328003E-2</v>
      </c>
      <c r="L1766" s="1">
        <f t="shared" ref="L1766" si="1869">SUM(L1767:L1769)</f>
        <v>2.3921616436319883E-4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5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3.9864235201095159E-2</v>
      </c>
      <c r="K1767" s="1">
        <f>'[2]Electricity and CHPs_CAP'!G$18</f>
        <v>3.9863995719473057E-2</v>
      </c>
      <c r="L1767" s="1">
        <f>'[2]Electricity and CHPs_CAP'!H$18</f>
        <v>2.0012677723999991E-4</v>
      </c>
      <c r="N1767" s="1"/>
    </row>
    <row r="1768" spans="2:14" x14ac:dyDescent="0.35">
      <c r="B1768" s="5" t="str">
        <f t="shared" ref="B1768:C1769" si="1870">B1767</f>
        <v>SPS1</v>
      </c>
      <c r="C1768" s="5" t="str">
        <f t="shared" si="1870"/>
        <v>CH</v>
      </c>
      <c r="D1768" t="s">
        <v>1798</v>
      </c>
      <c r="E1768" t="str">
        <f t="shared" si="1865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9.9718324829128641E-4</v>
      </c>
      <c r="K1768" s="1">
        <f>'[2]Electricity and CHPs_CAP'!G$28</f>
        <v>1.4529015405854946E-2</v>
      </c>
      <c r="L1768" s="1">
        <f>'[2]Electricity and CHPs_CAP'!H$28</f>
        <v>3.9089387123198913E-5</v>
      </c>
      <c r="N1768" s="1"/>
    </row>
    <row r="1769" spans="2:14" x14ac:dyDescent="0.35">
      <c r="B1769" s="5" t="str">
        <f t="shared" si="1870"/>
        <v>SPS1</v>
      </c>
      <c r="C1769" s="5" t="str">
        <f t="shared" si="1870"/>
        <v>CH</v>
      </c>
      <c r="D1769" t="s">
        <v>1799</v>
      </c>
      <c r="E1769" t="str">
        <f t="shared" si="1865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1.0763572213849134E-2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5"/>
        <v>GWe/yr.</v>
      </c>
      <c r="F1770" s="1">
        <f>SUM(F1771:F1785)</f>
        <v>0.23062874222316321</v>
      </c>
      <c r="G1770" s="1">
        <f t="shared" ref="G1770:K1770" si="1871">SUM(G1771:G1785)</f>
        <v>0.16592875796906248</v>
      </c>
      <c r="H1770" s="1">
        <f t="shared" si="1871"/>
        <v>0.12021289099956706</v>
      </c>
      <c r="I1770" s="1">
        <f t="shared" si="1871"/>
        <v>0.11657083425856461</v>
      </c>
      <c r="J1770" s="1">
        <f t="shared" si="1871"/>
        <v>0.19273431989547299</v>
      </c>
      <c r="K1770" s="1">
        <f t="shared" si="1871"/>
        <v>0.16595006242266952</v>
      </c>
      <c r="L1770" s="1">
        <f t="shared" ref="L1770" si="1872">SUM(L1771:L1785)</f>
        <v>0.26329074320176121</v>
      </c>
      <c r="N1770" s="1"/>
    </row>
    <row r="1771" spans="2:14" x14ac:dyDescent="0.35">
      <c r="B1771" s="5" t="str">
        <f t="shared" ref="B1771:C1784" si="1873">B1770</f>
        <v>SPS1</v>
      </c>
      <c r="C1771" s="5" t="str">
        <f t="shared" si="1873"/>
        <v>CH</v>
      </c>
      <c r="D1771" t="s">
        <v>1801</v>
      </c>
      <c r="E1771" t="str">
        <f t="shared" si="1865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2.8551194158650801E-8</v>
      </c>
      <c r="L1771" s="1">
        <f>'[2]Electricity and CHPs_CAP'!H$21</f>
        <v>1.2639779164847788E-2</v>
      </c>
      <c r="N1771" s="1"/>
    </row>
    <row r="1772" spans="2:14" x14ac:dyDescent="0.35">
      <c r="B1772" s="5" t="str">
        <f t="shared" si="1873"/>
        <v>SPS1</v>
      </c>
      <c r="C1772" s="5" t="str">
        <f t="shared" si="1873"/>
        <v>CH</v>
      </c>
      <c r="D1772" t="s">
        <v>1802</v>
      </c>
      <c r="E1772" t="str">
        <f t="shared" si="1865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2.2399439864683499E-5</v>
      </c>
      <c r="K1772" s="1">
        <f>'[2]Electricity and CHPs_CAP'!G$22</f>
        <v>9.3252750493129632E-5</v>
      </c>
      <c r="L1772" s="1">
        <f>'[2]Electricity and CHPs_CAP'!H$22</f>
        <v>0.11019206961285888</v>
      </c>
      <c r="N1772" s="1"/>
    </row>
    <row r="1773" spans="2:14" x14ac:dyDescent="0.35">
      <c r="B1773" s="5" t="str">
        <f t="shared" si="1873"/>
        <v>SPS1</v>
      </c>
      <c r="C1773" s="5" t="str">
        <f t="shared" si="1873"/>
        <v>CH</v>
      </c>
      <c r="D1773" t="s">
        <v>1803</v>
      </c>
      <c r="E1773" t="str">
        <f t="shared" si="1865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3"/>
        <v>SPS1</v>
      </c>
      <c r="C1774" s="5" t="str">
        <f t="shared" si="1873"/>
        <v>CH</v>
      </c>
      <c r="D1774" t="s">
        <v>1804</v>
      </c>
      <c r="E1774" t="str">
        <f t="shared" si="1865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73"/>
        <v>SPS1</v>
      </c>
      <c r="C1775" s="5" t="str">
        <f t="shared" si="1873"/>
        <v>CH</v>
      </c>
      <c r="D1775" t="s">
        <v>1805</v>
      </c>
      <c r="E1775" t="str">
        <f t="shared" si="1865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73"/>
        <v>SPS1</v>
      </c>
      <c r="C1776" s="5" t="str">
        <f t="shared" si="1873"/>
        <v>CH</v>
      </c>
      <c r="D1776" t="s">
        <v>1806</v>
      </c>
      <c r="E1776" t="str">
        <f t="shared" si="1865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5.5073077491520295E-2</v>
      </c>
      <c r="K1776" s="1">
        <f>'[2]Electricity and CHPs_CAP'!G$39</f>
        <v>5.5073235292954541E-2</v>
      </c>
      <c r="L1776" s="1">
        <f>'[2]Electricity and CHPs_CAP'!H$39</f>
        <v>4.4177260003455308E-2</v>
      </c>
      <c r="N1776" s="1"/>
    </row>
    <row r="1777" spans="2:14" x14ac:dyDescent="0.35">
      <c r="B1777" s="5" t="str">
        <f t="shared" si="1873"/>
        <v>SPS1</v>
      </c>
      <c r="C1777" s="5" t="str">
        <f t="shared" si="1873"/>
        <v>CH</v>
      </c>
      <c r="D1777" t="s">
        <v>1807</v>
      </c>
      <c r="E1777" t="str">
        <f t="shared" si="1865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8.76244745239817E-5</v>
      </c>
      <c r="L1777" s="1">
        <f>'[2]Electricity and CHPs_CAP'!H$40</f>
        <v>1.1524075090162228E-2</v>
      </c>
      <c r="N1777" s="1"/>
    </row>
    <row r="1778" spans="2:14" x14ac:dyDescent="0.35">
      <c r="B1778" s="5" t="str">
        <f t="shared" si="1873"/>
        <v>SPS1</v>
      </c>
      <c r="C1778" s="5" t="str">
        <f t="shared" si="1873"/>
        <v>CH</v>
      </c>
      <c r="D1778" t="s">
        <v>1808</v>
      </c>
      <c r="E1778" t="str">
        <f t="shared" si="1865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2.0303415815001801E-5</v>
      </c>
      <c r="K1778" s="1">
        <f>'[2]Electricity and CHPs_CAP'!G$47</f>
        <v>2.2505291615454368E-5</v>
      </c>
      <c r="L1778" s="1">
        <f>'[2]Electricity and CHPs_CAP'!H$47</f>
        <v>1.3580189472121266E-5</v>
      </c>
      <c r="N1778" s="1"/>
    </row>
    <row r="1779" spans="2:14" x14ac:dyDescent="0.35">
      <c r="B1779" s="5" t="str">
        <f t="shared" si="1873"/>
        <v>SPS1</v>
      </c>
      <c r="C1779" s="5" t="str">
        <f t="shared" si="1873"/>
        <v>CH</v>
      </c>
      <c r="D1779" t="s">
        <v>1809</v>
      </c>
      <c r="E1779" t="str">
        <f t="shared" si="1865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5.856904565929319E-4</v>
      </c>
      <c r="K1779" s="1">
        <f>'[2]Electricity and CHPs_CAP'!G$48</f>
        <v>2.2453328430006419E-4</v>
      </c>
      <c r="L1779" s="1">
        <f>'[2]Electricity and CHPs_CAP'!H$48</f>
        <v>0</v>
      </c>
      <c r="N1779" s="1"/>
    </row>
    <row r="1780" spans="2:14" x14ac:dyDescent="0.35">
      <c r="B1780" s="5" t="str">
        <f t="shared" si="1873"/>
        <v>SPS1</v>
      </c>
      <c r="C1780" s="5" t="str">
        <f t="shared" si="1873"/>
        <v>CH</v>
      </c>
      <c r="D1780" t="s">
        <v>1810</v>
      </c>
      <c r="E1780" t="str">
        <f t="shared" si="1865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73"/>
        <v>SPS1</v>
      </c>
      <c r="C1781" s="5" t="str">
        <f t="shared" si="1873"/>
        <v>CH</v>
      </c>
      <c r="D1781" t="s">
        <v>1811</v>
      </c>
      <c r="E1781" t="str">
        <f t="shared" si="1865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2.5117550115566864E-2</v>
      </c>
      <c r="K1781" s="1">
        <f>'[2]Electricity and CHPs_CAP'!G$51</f>
        <v>1.1616361612130947E-2</v>
      </c>
      <c r="L1781" s="1">
        <f>'[2]Electricity and CHPs_CAP'!H$51</f>
        <v>0</v>
      </c>
      <c r="N1781" s="1"/>
    </row>
    <row r="1782" spans="2:14" x14ac:dyDescent="0.35">
      <c r="B1782" s="5" t="str">
        <f t="shared" si="1873"/>
        <v>SPS1</v>
      </c>
      <c r="C1782" s="5" t="str">
        <f t="shared" si="1873"/>
        <v>CH</v>
      </c>
      <c r="D1782" t="s">
        <v>1812</v>
      </c>
      <c r="E1782" t="str">
        <f t="shared" si="1865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73"/>
        <v>SPS1</v>
      </c>
      <c r="C1783" s="5" t="str">
        <f t="shared" si="1873"/>
        <v>CH</v>
      </c>
      <c r="D1783" t="s">
        <v>1813</v>
      </c>
      <c r="E1783" t="str">
        <f t="shared" si="1865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8.474399523996079E-2</v>
      </c>
      <c r="K1783" s="1">
        <f>'[2]Electricity and CHPs_CAP'!G$54</f>
        <v>8.4743981479286898E-2</v>
      </c>
      <c r="L1783" s="1">
        <f>'[2]Electricity and CHPs_CAP'!H$54</f>
        <v>8.4743979140964876E-2</v>
      </c>
      <c r="N1783" s="1"/>
    </row>
    <row r="1784" spans="2:14" x14ac:dyDescent="0.35">
      <c r="B1784" s="5" t="str">
        <f t="shared" si="1873"/>
        <v>SPS1</v>
      </c>
      <c r="C1784" s="5" t="str">
        <f t="shared" si="1873"/>
        <v>CH</v>
      </c>
      <c r="D1784" t="s">
        <v>1814</v>
      </c>
      <c r="E1784" t="str">
        <f t="shared" si="1865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2.7171303736152421E-2</v>
      </c>
      <c r="K1784" s="1">
        <f>'[2]Electricity and CHPs_CAP'!G$55</f>
        <v>1.4088539686170356E-2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74">B1784</f>
        <v>SPS1</v>
      </c>
      <c r="C1785" s="5" t="str">
        <f t="shared" si="1874"/>
        <v>CH</v>
      </c>
      <c r="D1785" t="s">
        <v>1815</v>
      </c>
      <c r="E1785" t="str">
        <f t="shared" si="1865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5"/>
        <v>GWe/yr.</v>
      </c>
      <c r="F1786" s="1">
        <f>SUM(F1787:F1792)</f>
        <v>0.39868059009055529</v>
      </c>
      <c r="G1786" s="1">
        <f t="shared" ref="G1786:K1786" si="1875">SUM(G1787:G1792)</f>
        <v>0.35291005320518615</v>
      </c>
      <c r="H1786" s="1">
        <f t="shared" si="1875"/>
        <v>0.37440622555599151</v>
      </c>
      <c r="I1786" s="1">
        <f t="shared" si="1875"/>
        <v>0.34733681204043065</v>
      </c>
      <c r="J1786" s="1">
        <f t="shared" si="1875"/>
        <v>0.34945676746553928</v>
      </c>
      <c r="K1786" s="1">
        <f t="shared" si="1875"/>
        <v>0.37630251769739181</v>
      </c>
      <c r="L1786" s="1">
        <f t="shared" ref="L1786" si="1876">SUM(L1787:L1792)</f>
        <v>0.42344361743834064</v>
      </c>
      <c r="N1786" s="1"/>
    </row>
    <row r="1787" spans="2:14" x14ac:dyDescent="0.35">
      <c r="B1787" s="5" t="str">
        <f t="shared" ref="B1787:C1792" si="1877">B1786</f>
        <v>SPS1</v>
      </c>
      <c r="C1787" s="5" t="str">
        <f t="shared" si="1877"/>
        <v>CH</v>
      </c>
      <c r="D1787" t="s">
        <v>1817</v>
      </c>
      <c r="E1787" t="str">
        <f t="shared" si="1865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0.27948864867734735</v>
      </c>
      <c r="K1787" s="1">
        <f>'[2]Electricity and CHPs_CAP'!G$19</f>
        <v>0.20507633142018949</v>
      </c>
      <c r="L1787" s="1">
        <f>'[2]Electricity and CHPs_CAP'!H$19</f>
        <v>5.94616650467783E-6</v>
      </c>
      <c r="N1787" s="1"/>
    </row>
    <row r="1788" spans="2:14" x14ac:dyDescent="0.35">
      <c r="B1788" s="5" t="str">
        <f t="shared" si="1877"/>
        <v>SPS1</v>
      </c>
      <c r="C1788" s="5" t="str">
        <f t="shared" si="1877"/>
        <v>CH</v>
      </c>
      <c r="D1788" t="s">
        <v>1818</v>
      </c>
      <c r="E1788" t="str">
        <f t="shared" si="1865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0.100709237080133</v>
      </c>
      <c r="L1788" s="1">
        <f>'[2]Electricity and CHPs_CAP'!H$20</f>
        <v>0.31922237216441901</v>
      </c>
      <c r="N1788" s="1"/>
    </row>
    <row r="1789" spans="2:14" x14ac:dyDescent="0.35">
      <c r="B1789" s="5" t="str">
        <f t="shared" si="1877"/>
        <v>SPS1</v>
      </c>
      <c r="C1789" s="5" t="str">
        <f t="shared" si="1877"/>
        <v>CH</v>
      </c>
      <c r="D1789" t="s">
        <v>1819</v>
      </c>
      <c r="E1789" t="str">
        <f t="shared" si="1865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6.9925851720587892E-2</v>
      </c>
      <c r="K1789" s="1">
        <f>'[2]Electricity and CHPs_CAP'!G$26</f>
        <v>4.7187736391609163E-2</v>
      </c>
      <c r="L1789" s="1">
        <f>'[2]Electricity and CHPs_CAP'!H$26</f>
        <v>2.7486211681901351E-6</v>
      </c>
      <c r="N1789" s="1"/>
    </row>
    <row r="1790" spans="2:14" x14ac:dyDescent="0.35">
      <c r="B1790" s="5" t="str">
        <f t="shared" si="1877"/>
        <v>SPS1</v>
      </c>
      <c r="C1790" s="5" t="str">
        <f t="shared" si="1877"/>
        <v>CH</v>
      </c>
      <c r="D1790" t="s">
        <v>1820</v>
      </c>
      <c r="E1790" t="str">
        <f t="shared" si="1865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2.3278192585845601E-2</v>
      </c>
      <c r="L1790" s="1">
        <f>'[2]Electricity and CHPs_CAP'!H$27</f>
        <v>7.4875232209403106E-2</v>
      </c>
      <c r="N1790" s="1"/>
    </row>
    <row r="1791" spans="2:14" x14ac:dyDescent="0.35">
      <c r="B1791" s="5" t="str">
        <f t="shared" si="1877"/>
        <v>SPS1</v>
      </c>
      <c r="C1791" s="5" t="str">
        <f t="shared" si="1877"/>
        <v>CH</v>
      </c>
      <c r="D1791" t="s">
        <v>1821</v>
      </c>
      <c r="E1791" t="str">
        <f t="shared" si="1865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4.2267067604037298E-5</v>
      </c>
      <c r="K1791" s="1">
        <f>'[2]Electricity and CHPs_CAP'!G$44</f>
        <v>4.2207910674477503E-5</v>
      </c>
      <c r="L1791" s="1">
        <f>'[2]Electricity and CHPs_CAP'!H$44</f>
        <v>5.8172737302567522E-6</v>
      </c>
      <c r="N1791" s="1"/>
    </row>
    <row r="1792" spans="2:14" x14ac:dyDescent="0.35">
      <c r="B1792" s="5" t="str">
        <f t="shared" si="1877"/>
        <v>SPS1</v>
      </c>
      <c r="C1792" s="5" t="str">
        <f t="shared" si="1877"/>
        <v>CH</v>
      </c>
      <c r="D1792" t="s">
        <v>1822</v>
      </c>
      <c r="E1792" t="str">
        <f t="shared" si="1865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8.8123089400115393E-6</v>
      </c>
      <c r="L1792" s="1">
        <f>'[2]Electricity and CHPs_CAP'!H$45</f>
        <v>2.93315010031154E-2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5"/>
        <v>GWe/yr.</v>
      </c>
      <c r="F1793" s="1">
        <f>SUM(F1794:F1800)</f>
        <v>2.1418788295863647E-2</v>
      </c>
      <c r="G1793" s="1">
        <f t="shared" ref="G1793:K1793" si="1878">SUM(G1794:G1800)</f>
        <v>2.7799779300429601E-2</v>
      </c>
      <c r="H1793" s="1">
        <f t="shared" si="1878"/>
        <v>4.2927457226592074E-2</v>
      </c>
      <c r="I1793" s="1">
        <f t="shared" si="1878"/>
        <v>0.1022411559049847</v>
      </c>
      <c r="J1793" s="1">
        <f t="shared" si="1878"/>
        <v>0.1223835717379483</v>
      </c>
      <c r="K1793" s="1">
        <f t="shared" si="1878"/>
        <v>0.1949325552742365</v>
      </c>
      <c r="L1793" s="1">
        <f t="shared" ref="L1793" si="1879">SUM(L1794:L1800)</f>
        <v>0.28338698935508522</v>
      </c>
      <c r="N1793" s="1"/>
    </row>
    <row r="1794" spans="2:14" x14ac:dyDescent="0.35">
      <c r="B1794" s="5" t="str">
        <f t="shared" ref="B1794:C1804" si="1880">B1793</f>
        <v>SPS1</v>
      </c>
      <c r="C1794" s="5" t="str">
        <f t="shared" si="1880"/>
        <v>CH</v>
      </c>
      <c r="D1794" t="s">
        <v>1824</v>
      </c>
      <c r="E1794" t="str">
        <f t="shared" si="1865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2.4348132462067511E-2</v>
      </c>
      <c r="K1794" s="1">
        <f>'[2]Electricity and CHPs_CAP'!G$25</f>
        <v>4.082440740213502E-2</v>
      </c>
      <c r="L1794" s="1">
        <f>'[2]Electricity and CHPs_CAP'!H$25</f>
        <v>8.158403632282811E-2</v>
      </c>
      <c r="N1794" s="1"/>
    </row>
    <row r="1795" spans="2:14" x14ac:dyDescent="0.35">
      <c r="B1795" s="5" t="str">
        <f t="shared" si="1880"/>
        <v>SPS1</v>
      </c>
      <c r="C1795" s="5" t="str">
        <f t="shared" si="1880"/>
        <v>CH</v>
      </c>
      <c r="D1795" t="s">
        <v>1825</v>
      </c>
      <c r="E1795" t="str">
        <f t="shared" si="1865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1.0063933257286401E-5</v>
      </c>
      <c r="L1795" s="1">
        <f>'[2]Electricity and CHPs_CAP'!H$31</f>
        <v>3.1994287205690002E-5</v>
      </c>
      <c r="N1795" s="1"/>
    </row>
    <row r="1796" spans="2:14" x14ac:dyDescent="0.35">
      <c r="B1796" s="5" t="str">
        <f t="shared" si="1880"/>
        <v>SPS1</v>
      </c>
      <c r="C1796" s="5" t="str">
        <f t="shared" si="1880"/>
        <v>CH</v>
      </c>
      <c r="D1796" t="s">
        <v>1826</v>
      </c>
      <c r="E1796" t="str">
        <f t="shared" si="1865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9.7773364329305043E-2</v>
      </c>
      <c r="K1796" s="1">
        <f>'[2]Electricity and CHPs_CAP'!G$42</f>
        <v>7.2828304385899587E-2</v>
      </c>
      <c r="L1796" s="1">
        <f>'[2]Electricity and CHPs_CAP'!H$42</f>
        <v>7.8185624813511045E-2</v>
      </c>
      <c r="N1796" s="1"/>
    </row>
    <row r="1797" spans="2:14" x14ac:dyDescent="0.35">
      <c r="B1797" s="5" t="str">
        <f t="shared" si="1880"/>
        <v>SPS1</v>
      </c>
      <c r="C1797" s="5" t="str">
        <f t="shared" si="1880"/>
        <v>CH</v>
      </c>
      <c r="D1797" t="s">
        <v>1827</v>
      </c>
      <c r="E1797" t="str">
        <f t="shared" si="1865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5.4564963122858599E-2</v>
      </c>
      <c r="L1797" s="1">
        <f>'[2]Electricity and CHPs_CAP'!H$43</f>
        <v>0.104292866715436</v>
      </c>
      <c r="N1797" s="1"/>
    </row>
    <row r="1798" spans="2:14" x14ac:dyDescent="0.35">
      <c r="B1798" s="5" t="str">
        <f t="shared" si="1880"/>
        <v>SPS1</v>
      </c>
      <c r="C1798" s="5" t="str">
        <f t="shared" si="1880"/>
        <v>CH</v>
      </c>
      <c r="D1798" t="s">
        <v>1828</v>
      </c>
      <c r="E1798" t="str">
        <f t="shared" si="1865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2.8102829476727819E-5</v>
      </c>
      <c r="K1798" s="1">
        <f>'[2]Electricity and CHPs_CAP'!G$50</f>
        <v>3.2333604434379504E-5</v>
      </c>
      <c r="L1798" s="1">
        <f>'[2]Electricity and CHPs_CAP'!H$50</f>
        <v>1.3523936317987771E-5</v>
      </c>
      <c r="N1798" s="1"/>
    </row>
    <row r="1799" spans="2:14" x14ac:dyDescent="0.35">
      <c r="B1799" s="5" t="str">
        <f t="shared" si="1880"/>
        <v>SPS1</v>
      </c>
      <c r="C1799" s="5" t="str">
        <f t="shared" si="1880"/>
        <v>CH</v>
      </c>
      <c r="D1799" t="s">
        <v>1829</v>
      </c>
      <c r="E1799" t="str">
        <f t="shared" si="1865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2.20357547332864E-4</v>
      </c>
      <c r="K1799" s="1">
        <f>'[2]Electricity and CHPs_CAP'!G$53</f>
        <v>2.66591472060775E-2</v>
      </c>
      <c r="L1799" s="1">
        <f>'[2]Electricity and CHPs_CAP'!H$53</f>
        <v>1.9273929647960597E-2</v>
      </c>
      <c r="N1799" s="1"/>
    </row>
    <row r="1800" spans="2:14" x14ac:dyDescent="0.35">
      <c r="B1800" s="5" t="str">
        <f t="shared" si="1880"/>
        <v>SPS1</v>
      </c>
      <c r="C1800" s="5" t="str">
        <f t="shared" si="1880"/>
        <v>CH</v>
      </c>
      <c r="D1800" t="s">
        <v>1830</v>
      </c>
      <c r="E1800" t="str">
        <f t="shared" si="1865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1.36145697661662E-5</v>
      </c>
      <c r="K1800" s="1">
        <f>'[2]Electricity and CHPs_CAP'!G$56</f>
        <v>1.3335619574130772E-5</v>
      </c>
      <c r="L1800" s="1">
        <f>'[2]Electricity and CHPs_CAP'!H$56</f>
        <v>5.0136318257828171E-6</v>
      </c>
      <c r="N1800" s="1"/>
    </row>
    <row r="1801" spans="2:14" x14ac:dyDescent="0.35">
      <c r="B1801" s="5" t="str">
        <f t="shared" si="1880"/>
        <v>SPS1</v>
      </c>
      <c r="C1801" s="5" t="str">
        <f t="shared" si="1880"/>
        <v>CH</v>
      </c>
      <c r="D1801" t="s">
        <v>1831</v>
      </c>
      <c r="E1801" t="str">
        <f t="shared" si="1865"/>
        <v>GWe/yr.</v>
      </c>
      <c r="F1801" s="1">
        <f>F1802</f>
        <v>8.7120000000000003E-2</v>
      </c>
      <c r="G1801" s="1">
        <f t="shared" ref="G1801:L1801" si="1881">G1802</f>
        <v>9.0660047929208162E-2</v>
      </c>
      <c r="H1801" s="1">
        <f t="shared" si="1881"/>
        <v>8.3655965423137163E-2</v>
      </c>
      <c r="I1801" s="1">
        <f t="shared" si="1881"/>
        <v>0.34087530220510831</v>
      </c>
      <c r="J1801" s="1">
        <f t="shared" si="1881"/>
        <v>0.60450236052857775</v>
      </c>
      <c r="K1801" s="1">
        <f t="shared" si="1881"/>
        <v>1.1969580666720168</v>
      </c>
      <c r="L1801" s="1">
        <f t="shared" si="1881"/>
        <v>1.5557296849081099</v>
      </c>
      <c r="N1801" s="1"/>
    </row>
    <row r="1802" spans="2:14" x14ac:dyDescent="0.35">
      <c r="B1802" s="5" t="str">
        <f t="shared" si="1880"/>
        <v>SPS1</v>
      </c>
      <c r="C1802" s="5" t="str">
        <f t="shared" si="1880"/>
        <v>CH</v>
      </c>
      <c r="D1802" t="s">
        <v>1832</v>
      </c>
      <c r="E1802" t="str">
        <f t="shared" si="1865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0.60450236052857775</v>
      </c>
      <c r="K1802" s="1">
        <f>'[2]Electricity and CHPs_CAP'!G$33</f>
        <v>1.1969580666720168</v>
      </c>
      <c r="L1802" s="1">
        <f>'[2]Electricity and CHPs_CAP'!H$33</f>
        <v>1.5557296849081099</v>
      </c>
      <c r="N1802" s="1"/>
    </row>
    <row r="1803" spans="2:14" x14ac:dyDescent="0.35">
      <c r="B1803" s="5" t="str">
        <f t="shared" si="1880"/>
        <v>SPS1</v>
      </c>
      <c r="C1803" s="5" t="str">
        <f t="shared" si="1880"/>
        <v>CH</v>
      </c>
      <c r="D1803" t="s">
        <v>1833</v>
      </c>
      <c r="E1803" t="str">
        <f t="shared" si="1865"/>
        <v>GWe/yr.</v>
      </c>
      <c r="F1803" s="1">
        <f>SUM(F1804:F1808)</f>
        <v>2.9746549999999998</v>
      </c>
      <c r="G1803" s="1">
        <f t="shared" ref="G1803:K1803" si="1882">SUM(G1804:G1808)</f>
        <v>4.3709069010563057</v>
      </c>
      <c r="H1803" s="1">
        <f t="shared" si="1882"/>
        <v>9.1889298588544932</v>
      </c>
      <c r="I1803" s="1">
        <f t="shared" si="1882"/>
        <v>14.570133764258737</v>
      </c>
      <c r="J1803" s="1">
        <f t="shared" si="1882"/>
        <v>17.629720035235877</v>
      </c>
      <c r="K1803" s="1">
        <f t="shared" si="1882"/>
        <v>25.975451831449703</v>
      </c>
      <c r="L1803" s="1">
        <f t="shared" ref="L1803" si="1883">SUM(L1804:L1808)</f>
        <v>33.17913108508921</v>
      </c>
      <c r="N1803" s="1"/>
    </row>
    <row r="1804" spans="2:14" x14ac:dyDescent="0.35">
      <c r="B1804" s="5" t="str">
        <f t="shared" si="1880"/>
        <v>SPS1</v>
      </c>
      <c r="C1804" s="5" t="str">
        <f t="shared" si="1880"/>
        <v>CH</v>
      </c>
      <c r="D1804" t="s">
        <v>1834</v>
      </c>
      <c r="E1804" t="str">
        <f t="shared" si="1865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0.31490824387773486</v>
      </c>
      <c r="K1804" s="1">
        <f>'[2]Electricity and CHPs_CAP'!G$34</f>
        <v>0.92109508022372433</v>
      </c>
      <c r="L1804" s="1">
        <f>'[2]Electricity and CHPs_CAP'!H$34</f>
        <v>3.7962218748481673</v>
      </c>
      <c r="N1804" s="1"/>
    </row>
    <row r="1805" spans="2:14" x14ac:dyDescent="0.35">
      <c r="B1805" s="5" t="str">
        <f t="shared" ref="B1805:C1820" si="1884">B1804</f>
        <v>SPS1</v>
      </c>
      <c r="C1805" s="5" t="str">
        <f t="shared" si="1884"/>
        <v>CH</v>
      </c>
      <c r="D1805" t="s">
        <v>1835</v>
      </c>
      <c r="E1805" t="str">
        <f t="shared" si="1865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7.9931343489138005</v>
      </c>
      <c r="K1805" s="1">
        <f>'[2]Electricity and CHPs_CAP'!G$35</f>
        <v>11.775185381356437</v>
      </c>
      <c r="L1805" s="1">
        <f>'[2]Electricity and CHPs_CAP'!H$35</f>
        <v>14.6833035868988</v>
      </c>
      <c r="N1805" s="1"/>
    </row>
    <row r="1806" spans="2:14" x14ac:dyDescent="0.35">
      <c r="B1806" s="5" t="str">
        <f t="shared" si="1884"/>
        <v>SPS1</v>
      </c>
      <c r="C1806" s="5" t="str">
        <f t="shared" si="1884"/>
        <v>CH</v>
      </c>
      <c r="D1806" t="s">
        <v>1836</v>
      </c>
      <c r="E1806" t="str">
        <f t="shared" si="1865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3.4021610102505937</v>
      </c>
      <c r="K1806" s="1">
        <f>'[2]Electricity and CHPs_CAP'!G$36</f>
        <v>3.5895925307731309</v>
      </c>
      <c r="L1806" s="1">
        <f>'[2]Electricity and CHPs_CAP'!H$36</f>
        <v>3.9962821686822503</v>
      </c>
      <c r="N1806" s="1"/>
    </row>
    <row r="1807" spans="2:14" x14ac:dyDescent="0.35">
      <c r="B1807" s="5" t="str">
        <f t="shared" si="1884"/>
        <v>SPS1</v>
      </c>
      <c r="C1807" s="5" t="str">
        <f t="shared" si="1884"/>
        <v>CH</v>
      </c>
      <c r="D1807" t="s">
        <v>1837</v>
      </c>
      <c r="E1807" t="str">
        <f t="shared" si="1865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0.49554423226501848</v>
      </c>
      <c r="K1807" s="1">
        <f>'[2]Electricity and CHPs_CAP'!G$37</f>
        <v>0.52100981788938383</v>
      </c>
      <c r="L1807" s="1">
        <f>'[2]Electricity and CHPs_CAP'!H$37</f>
        <v>0.5755191515917909</v>
      </c>
      <c r="N1807" s="1"/>
    </row>
    <row r="1808" spans="2:14" x14ac:dyDescent="0.35">
      <c r="B1808" s="5" t="str">
        <f t="shared" si="1884"/>
        <v>SPS1</v>
      </c>
      <c r="C1808" s="5" t="str">
        <f t="shared" si="1884"/>
        <v>CH</v>
      </c>
      <c r="D1808" t="s">
        <v>1838</v>
      </c>
      <c r="E1808" t="str">
        <f t="shared" si="1865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5.4239721999287287</v>
      </c>
      <c r="K1808" s="1">
        <f>'[2]Electricity and CHPs_CAP'!G$38</f>
        <v>9.1685690212070288</v>
      </c>
      <c r="L1808" s="1">
        <f>'[2]Electricity and CHPs_CAP'!H$38</f>
        <v>10.127804303068199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5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4.3041316563736599E-5</v>
      </c>
      <c r="L1809" s="1">
        <f>'[2]Electricity and CHPs_CAP'!H$32</f>
        <v>0.26336441719202841</v>
      </c>
      <c r="N1809" s="1"/>
    </row>
    <row r="1810" spans="2:14" x14ac:dyDescent="0.35">
      <c r="B1810" s="5" t="str">
        <f t="shared" ref="B1810:C1810" si="1885">B1809</f>
        <v>SPS1</v>
      </c>
      <c r="C1810" s="5" t="str">
        <f t="shared" si="1885"/>
        <v>CH</v>
      </c>
      <c r="D1810" t="s">
        <v>1840</v>
      </c>
      <c r="E1810" t="str">
        <f t="shared" si="1865"/>
        <v>GWe/yr.</v>
      </c>
      <c r="F1810" s="1">
        <f>F1809</f>
        <v>0</v>
      </c>
      <c r="G1810" s="1">
        <f t="shared" ref="G1810:K1810" si="1886">G1809</f>
        <v>0</v>
      </c>
      <c r="H1810" s="1">
        <f t="shared" si="1886"/>
        <v>0</v>
      </c>
      <c r="I1810" s="1">
        <f t="shared" si="1886"/>
        <v>0</v>
      </c>
      <c r="J1810" s="1">
        <f t="shared" si="1886"/>
        <v>0</v>
      </c>
      <c r="K1810" s="1">
        <f t="shared" si="1886"/>
        <v>4.3041316563736599E-5</v>
      </c>
      <c r="L1810" s="1">
        <f t="shared" ref="L1810" si="1887">L1809</f>
        <v>0.26336441719202841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5"/>
        <v>GWe/yr.</v>
      </c>
      <c r="F1811" s="1">
        <f t="shared" ref="F1811:K1811" si="1888">SUM(F1812:F1814)</f>
        <v>0</v>
      </c>
      <c r="G1811" s="1">
        <f t="shared" si="1888"/>
        <v>0</v>
      </c>
      <c r="H1811" s="1">
        <f t="shared" si="1888"/>
        <v>0</v>
      </c>
      <c r="I1811" s="1">
        <f t="shared" si="1888"/>
        <v>1.4387274741387371E-3</v>
      </c>
      <c r="J1811" s="1">
        <f t="shared" si="1888"/>
        <v>1.988964250784686E-4</v>
      </c>
      <c r="K1811" s="1">
        <f t="shared" si="1888"/>
        <v>1.4296060872514968E-2</v>
      </c>
      <c r="L1811" s="1">
        <f t="shared" ref="L1811" si="1889">SUM(L1812:L1814)</f>
        <v>9.9783476181829062E-2</v>
      </c>
      <c r="N1811" s="1"/>
    </row>
    <row r="1812" spans="2:14" x14ac:dyDescent="0.35">
      <c r="B1812" s="5" t="str">
        <f t="shared" si="1884"/>
        <v>SPS1</v>
      </c>
      <c r="C1812" s="5" t="str">
        <f t="shared" si="1884"/>
        <v>CH</v>
      </c>
      <c r="D1812" t="s">
        <v>1842</v>
      </c>
      <c r="E1812" t="str">
        <f t="shared" si="1865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1.22587649045577E-2</v>
      </c>
      <c r="L1812" s="1">
        <f>'[2]Electricity and CHPs_CAP'!H$30</f>
        <v>1.22649851024649E-2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5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1.7084575953731101E-4</v>
      </c>
      <c r="K1813" s="1">
        <f>'[2]Electricity and CHPs_CAP'!G$46</f>
        <v>8.9911646542139775E-4</v>
      </c>
      <c r="L1813" s="1">
        <f>'[2]Electricity and CHPs_CAP'!H$46</f>
        <v>8.5843081730547791E-2</v>
      </c>
      <c r="N1813" s="1"/>
    </row>
    <row r="1814" spans="2:14" x14ac:dyDescent="0.35">
      <c r="B1814" s="5" t="str">
        <f t="shared" si="1884"/>
        <v>SPS1</v>
      </c>
      <c r="C1814" s="5" t="str">
        <f t="shared" si="1884"/>
        <v>CH</v>
      </c>
      <c r="D1814" t="s">
        <v>1844</v>
      </c>
      <c r="E1814" t="str">
        <f t="shared" si="1865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2.80506655411576E-5</v>
      </c>
      <c r="K1814" s="1">
        <f>'[2]Electricity and CHPs_CAP'!G$57</f>
        <v>1.1381795025358699E-3</v>
      </c>
      <c r="L1814" s="1">
        <f>'[2]Electricity and CHPs_CAP'!H$57</f>
        <v>1.67540934881637E-3</v>
      </c>
      <c r="N1814" s="1"/>
    </row>
    <row r="1815" spans="2:14" x14ac:dyDescent="0.35">
      <c r="B1815" s="5" t="str">
        <f t="shared" si="1884"/>
        <v>SPS1</v>
      </c>
      <c r="C1815" s="5" t="str">
        <f t="shared" si="1884"/>
        <v>CH</v>
      </c>
      <c r="D1815" t="s">
        <v>1845</v>
      </c>
      <c r="E1815" t="str">
        <f t="shared" si="1865"/>
        <v>GWe/yr.</v>
      </c>
      <c r="F1815" s="1">
        <f>SUM(F1816:F1822)</f>
        <v>0.10551583464287448</v>
      </c>
      <c r="G1815" s="1">
        <f t="shared" ref="G1815:K1815" si="1890">SUM(G1816:G1822)</f>
        <v>0.10551972476029695</v>
      </c>
      <c r="H1815" s="1">
        <f t="shared" si="1890"/>
        <v>0.51178252990081263</v>
      </c>
      <c r="I1815" s="1">
        <f t="shared" si="1890"/>
        <v>0.80962869825206896</v>
      </c>
      <c r="J1815" s="1">
        <f t="shared" si="1890"/>
        <v>0.95644032695037118</v>
      </c>
      <c r="K1815" s="1">
        <f t="shared" si="1890"/>
        <v>1.7631104995464295</v>
      </c>
      <c r="L1815" s="1">
        <f t="shared" ref="L1815" si="1891">SUM(L1816:L1822)</f>
        <v>2.7729563046844348</v>
      </c>
      <c r="N1815" s="1"/>
    </row>
    <row r="1816" spans="2:14" x14ac:dyDescent="0.35">
      <c r="B1816" s="5" t="str">
        <f t="shared" si="1884"/>
        <v>SPS1</v>
      </c>
      <c r="C1816" s="5" t="str">
        <f t="shared" si="1884"/>
        <v>CH</v>
      </c>
      <c r="D1816" t="s">
        <v>1846</v>
      </c>
      <c r="E1816" t="str">
        <f t="shared" si="1865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9.9999850799627699E-2</v>
      </c>
      <c r="K1816" s="1">
        <f>'[2]Electricity and CHPs_CAP'!G$63</f>
        <v>9.9999886429978882E-2</v>
      </c>
      <c r="L1816" s="1">
        <f>'[2]Electricity and CHPs_CAP'!H$63</f>
        <v>9.9999889707716699E-2</v>
      </c>
      <c r="N1816" s="1"/>
    </row>
    <row r="1817" spans="2:14" x14ac:dyDescent="0.35">
      <c r="B1817" s="5" t="str">
        <f t="shared" si="1884"/>
        <v>SPS1</v>
      </c>
      <c r="C1817" s="5" t="str">
        <f t="shared" si="1884"/>
        <v>CH</v>
      </c>
      <c r="D1817" t="s">
        <v>1847</v>
      </c>
      <c r="E1817" t="str">
        <f t="shared" si="1865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5.611070393603957E-2</v>
      </c>
      <c r="K1817" s="1">
        <f>'[2]Electricity and CHPs_CAP'!G$64</f>
        <v>0.51747601378501573</v>
      </c>
      <c r="L1817" s="1">
        <f>'[2]Electricity and CHPs_CAP'!H$64</f>
        <v>1.080915261927111</v>
      </c>
      <c r="N1817" s="1"/>
    </row>
    <row r="1818" spans="2:14" x14ac:dyDescent="0.35">
      <c r="B1818" s="5" t="str">
        <f t="shared" si="1884"/>
        <v>SPS1</v>
      </c>
      <c r="C1818" s="5" t="str">
        <f t="shared" si="1884"/>
        <v>CH</v>
      </c>
      <c r="D1818" t="s">
        <v>1848</v>
      </c>
      <c r="E1818" t="str">
        <f t="shared" si="1865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2.9540441483830445E-2</v>
      </c>
      <c r="K1818" s="1">
        <f>'[2]Electricity and CHPs_CAP'!G$65</f>
        <v>7.0178605719453974E-2</v>
      </c>
      <c r="L1818" s="1">
        <f>'[2]Electricity and CHPs_CAP'!H$65</f>
        <v>0.20465680952879448</v>
      </c>
      <c r="N1818" s="1"/>
    </row>
    <row r="1819" spans="2:14" x14ac:dyDescent="0.35">
      <c r="B1819" s="5" t="str">
        <f t="shared" si="1884"/>
        <v>SPS1</v>
      </c>
      <c r="C1819" s="5" t="str">
        <f t="shared" si="1884"/>
        <v>CH</v>
      </c>
      <c r="D1819" t="s">
        <v>1849</v>
      </c>
      <c r="E1819" t="str">
        <f t="shared" si="1865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0.16635372613568319</v>
      </c>
      <c r="K1819" s="1">
        <f>'[2]Electricity and CHPs_CAP'!G$66</f>
        <v>0.25272699985469343</v>
      </c>
      <c r="L1819" s="1">
        <f>'[2]Electricity and CHPs_CAP'!H$66</f>
        <v>0.34665437895942719</v>
      </c>
      <c r="N1819" s="1"/>
    </row>
    <row r="1820" spans="2:14" x14ac:dyDescent="0.35">
      <c r="B1820" s="5" t="str">
        <f t="shared" si="1884"/>
        <v>SPS1</v>
      </c>
      <c r="C1820" s="5" t="str">
        <f t="shared" si="1884"/>
        <v>CH</v>
      </c>
      <c r="D1820" t="s">
        <v>1855</v>
      </c>
      <c r="E1820" t="str">
        <f t="shared" si="1865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0.36051759621273022</v>
      </c>
      <c r="K1820" s="1">
        <f>'[2]Electricity and CHPs_CAP'!G$67</f>
        <v>0.39226751384720576</v>
      </c>
      <c r="L1820" s="1">
        <f>'[2]Electricity and CHPs_CAP'!H$67</f>
        <v>0.48037983046332561</v>
      </c>
      <c r="N1820" s="1"/>
    </row>
    <row r="1821" spans="2:14" x14ac:dyDescent="0.35">
      <c r="B1821" s="5" t="str">
        <f t="shared" ref="B1821:C1822" si="1892">B1820</f>
        <v>SPS1</v>
      </c>
      <c r="C1821" s="5" t="str">
        <f t="shared" si="1892"/>
        <v>CH</v>
      </c>
      <c r="D1821" t="s">
        <v>1850</v>
      </c>
      <c r="E1821" t="str">
        <f t="shared" si="1865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1.8149832815412312E-2</v>
      </c>
      <c r="K1821" s="1">
        <f>'[2]Electricity and CHPs_CAP'!G$68</f>
        <v>1.9845461722587943E-2</v>
      </c>
      <c r="L1821" s="1">
        <f>'[2]Electricity and CHPs_CAP'!H$68</f>
        <v>2.4019458382740673E-2</v>
      </c>
      <c r="N1821" s="1"/>
    </row>
    <row r="1822" spans="2:14" x14ac:dyDescent="0.35">
      <c r="B1822" s="5" t="str">
        <f t="shared" si="1892"/>
        <v>SPS1</v>
      </c>
      <c r="C1822" s="5" t="str">
        <f t="shared" si="1892"/>
        <v>CH</v>
      </c>
      <c r="D1822" t="s">
        <v>1851</v>
      </c>
      <c r="E1822" t="str">
        <f t="shared" si="1865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0.22576817556704781</v>
      </c>
      <c r="K1822" s="1">
        <f>'[2]Electricity and CHPs_CAP'!G$69</f>
        <v>0.4106160181874936</v>
      </c>
      <c r="L1822" s="1">
        <f>'[2]Electricity and CHPs_CAP'!H$69</f>
        <v>0.53633067571531945</v>
      </c>
      <c r="N1822" s="1"/>
    </row>
    <row r="1823" spans="2:14" x14ac:dyDescent="0.35">
      <c r="B1823" s="5" t="str">
        <f t="shared" ref="B1823:C1823" si="1893">B1822</f>
        <v>SPS1</v>
      </c>
      <c r="C1823" s="5" t="str">
        <f t="shared" si="1893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94">SUM(G1824,G1843)</f>
        <v>11.780570880046316</v>
      </c>
      <c r="H1823" s="3">
        <f t="shared" si="1894"/>
        <v>11.564642944725813</v>
      </c>
      <c r="I1823" s="3">
        <f t="shared" si="1894"/>
        <v>13.053328528237085</v>
      </c>
      <c r="J1823" s="3">
        <f t="shared" si="1894"/>
        <v>9.6690993805884986</v>
      </c>
      <c r="K1823" s="3">
        <f t="shared" si="1894"/>
        <v>9.4518106434546425</v>
      </c>
      <c r="L1823" s="3">
        <f t="shared" ref="L1823" si="1895">SUM(L1824,L1843)</f>
        <v>9.038796934358448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96">SUM(G1825,G1828,G1830,G1833,G1835,G1837,G1839,G1841)</f>
        <v>9.7935017138681992</v>
      </c>
      <c r="H1824" s="1">
        <f t="shared" si="1896"/>
        <v>9.6988605933424523</v>
      </c>
      <c r="I1824" s="1">
        <f t="shared" si="1896"/>
        <v>11.041349413762145</v>
      </c>
      <c r="J1824" s="1">
        <f t="shared" si="1896"/>
        <v>7.7621015261174477</v>
      </c>
      <c r="K1824" s="1">
        <f t="shared" si="1896"/>
        <v>7.2706771948639508</v>
      </c>
      <c r="L1824" s="1">
        <f t="shared" ref="L1824" si="1897">SUM(L1825,L1828,L1830,L1833,L1835,L1837,L1839,L1841)</f>
        <v>6.6288609104953435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98">SUM(G1826:G1827)</f>
        <v>2.3825222003276219</v>
      </c>
      <c r="H1825" s="1">
        <f t="shared" si="1898"/>
        <v>2.7794572265270525</v>
      </c>
      <c r="I1825" s="1">
        <f t="shared" si="1898"/>
        <v>3.9872901664621225</v>
      </c>
      <c r="J1825" s="1">
        <f t="shared" si="1898"/>
        <v>4.6756733795303749</v>
      </c>
      <c r="K1825" s="1">
        <f t="shared" si="1898"/>
        <v>5.3724148789732835</v>
      </c>
      <c r="L1825" s="1">
        <f t="shared" ref="L1825" si="1899">SUM(L1826:L1827)</f>
        <v>5.4220926172444628</v>
      </c>
      <c r="N1825" s="1"/>
    </row>
    <row r="1826" spans="2:14" x14ac:dyDescent="0.35">
      <c r="B1826" s="5" t="str">
        <f t="shared" ref="B1826:C1826" si="1900">B1825</f>
        <v>SPS1</v>
      </c>
      <c r="C1826" s="5" t="str">
        <f t="shared" si="1900"/>
        <v>CH</v>
      </c>
      <c r="D1826" t="s">
        <v>1862</v>
      </c>
      <c r="E1826" t="str">
        <f t="shared" ref="E1826:E1889" si="1901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9.4627646068625275E-3</v>
      </c>
      <c r="K1826" s="1" cm="1">
        <f t="array" ref="K1826">SUMPRODUCT(([2]OUT_FinalEnergyCons!$B$4:$B$10000="var_cap")*1,(ISNUMBER(SEARCH("RH*-SHELCBR",[2]OUT_FinalEnergyCons!$A$4:$A$10000)))*1,[2]OUT_FinalEnergyCons!I$4:I$10000)</f>
        <v>2.7378688734091489E-3</v>
      </c>
      <c r="L1826" s="1" cm="1">
        <f t="array" ref="L1826">SUMPRODUCT(([2]OUT_FinalEnergyCons!$B$4:$B$10000="var_cap")*1,(ISNUMBER(SEARCH("RH*-SHELCBR",[2]OUT_FinalEnergyCons!$A$4:$A$10000)))*1,[2]OUT_FinalEnergyCons!J$4:J$10000)</f>
        <v>1.2081349864923978E-3</v>
      </c>
      <c r="N1826" s="1"/>
    </row>
    <row r="1827" spans="2:14" x14ac:dyDescent="0.35">
      <c r="B1827" s="5" t="str">
        <f t="shared" ref="B1827:C1827" si="1902">B1826</f>
        <v>SPS1</v>
      </c>
      <c r="C1827" s="5" t="str">
        <f t="shared" si="1902"/>
        <v>CH</v>
      </c>
      <c r="D1827" t="s">
        <v>1863</v>
      </c>
      <c r="E1827" t="str">
        <f t="shared" si="1901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4.6662106149235125</v>
      </c>
      <c r="K1827" s="1" cm="1">
        <f t="array" ref="K1827">SUMPRODUCT(([2]OUT_FinalEnergyCons!$B$4:$B$10000="var_cap")*1,ISNUMBER(SEARCH("RH*-SHELCHP",[2]OUT_FinalEnergyCons!$A$4:$A$10000))*1,[2]OUT_FinalEnergyCons!I$4:I$10000)</f>
        <v>5.3696770100998741</v>
      </c>
      <c r="L1827" s="1" cm="1">
        <f t="array" ref="L1827">SUMPRODUCT(([2]OUT_FinalEnergyCons!$B$4:$B$10000="var_cap")*1,ISNUMBER(SEARCH("RH*-SHELCHP",[2]OUT_FinalEnergyCons!$A$4:$A$10000))*1,[2]OUT_FinalEnergyCons!J$4:J$10000)</f>
        <v>5.4208844822579705</v>
      </c>
      <c r="N1827" s="1"/>
    </row>
    <row r="1828" spans="2:14" x14ac:dyDescent="0.35">
      <c r="B1828" s="5" t="str">
        <f t="shared" ref="B1828:C1828" si="1903">B1827</f>
        <v>SPS1</v>
      </c>
      <c r="C1828" s="5" t="str">
        <f t="shared" si="1903"/>
        <v>CH</v>
      </c>
      <c r="D1828" t="s">
        <v>1864</v>
      </c>
      <c r="E1828" t="str">
        <f t="shared" si="1901"/>
        <v>GWth/yr.</v>
      </c>
      <c r="F1828" s="1">
        <f>F1829</f>
        <v>3.4074053831106799</v>
      </c>
      <c r="G1828" s="1">
        <f t="shared" ref="G1828:L1828" si="1904">G1829</f>
        <v>3.3399683846688299</v>
      </c>
      <c r="H1828" s="1">
        <f t="shared" si="1904"/>
        <v>2.8131938992318317</v>
      </c>
      <c r="I1828" s="1">
        <f t="shared" si="1904"/>
        <v>2.8128562361605023</v>
      </c>
      <c r="J1828" s="1">
        <f t="shared" si="1904"/>
        <v>0.81135383437615072</v>
      </c>
      <c r="K1828" s="1">
        <f t="shared" si="1904"/>
        <v>0.27668218887964618</v>
      </c>
      <c r="L1828" s="1">
        <f t="shared" si="1904"/>
        <v>4.7537009982143594E-2</v>
      </c>
      <c r="N1828" s="1"/>
    </row>
    <row r="1829" spans="2:14" x14ac:dyDescent="0.35">
      <c r="B1829" s="5" t="str">
        <f t="shared" ref="B1829:C1829" si="1905">B1828</f>
        <v>SPS1</v>
      </c>
      <c r="C1829" s="5" t="str">
        <f t="shared" si="1905"/>
        <v>CH</v>
      </c>
      <c r="D1829" t="s">
        <v>1865</v>
      </c>
      <c r="E1829" t="str">
        <f t="shared" si="1901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0.81135383437615072</v>
      </c>
      <c r="K1829" s="1" cm="1">
        <f t="array" ref="K1829">SUMPRODUCT(([2]OUT_FinalEnergyCons!$B$4:$B$10000="var_cap")*1, (ISNUMBER(SEARCH("RH*-SHLFOBR",[2]OUT_FinalEnergyCons!$A$4:$A$10000)))*1,[2]OUT_FinalEnergyCons!I$4:I$10000)</f>
        <v>0.27668218887964618</v>
      </c>
      <c r="L1829" s="1" cm="1">
        <f t="array" ref="L1829">SUMPRODUCT(([2]OUT_FinalEnergyCons!$B$4:$B$10000="var_cap")*1, (ISNUMBER(SEARCH("RH*-SHLFOBR",[2]OUT_FinalEnergyCons!$A$4:$A$10000)))*1,[2]OUT_FinalEnergyCons!J$4:J$10000)</f>
        <v>4.7537009982143594E-2</v>
      </c>
      <c r="N1829" s="1"/>
    </row>
    <row r="1830" spans="2:14" x14ac:dyDescent="0.35">
      <c r="B1830" s="5" t="str">
        <f t="shared" ref="B1830:C1830" si="1906">B1829</f>
        <v>SPS1</v>
      </c>
      <c r="C1830" s="5" t="str">
        <f t="shared" si="1906"/>
        <v>CH</v>
      </c>
      <c r="D1830" t="s">
        <v>1866</v>
      </c>
      <c r="E1830" t="str">
        <f t="shared" si="1901"/>
        <v>GWth/yr.</v>
      </c>
      <c r="F1830" s="1">
        <f>SUM(F1831:F1832)</f>
        <v>2.7687541997235714</v>
      </c>
      <c r="G1830" s="1">
        <f t="shared" ref="G1830:K1830" si="1907">SUM(G1831:G1832)</f>
        <v>2.936729298719329</v>
      </c>
      <c r="H1830" s="1">
        <f t="shared" si="1907"/>
        <v>3.0712698910658589</v>
      </c>
      <c r="I1830" s="1">
        <f t="shared" si="1907"/>
        <v>3.2080141505943862</v>
      </c>
      <c r="J1830" s="1">
        <f t="shared" si="1907"/>
        <v>1.5493769446054864</v>
      </c>
      <c r="K1830" s="1">
        <f t="shared" si="1907"/>
        <v>1.0263610235009892</v>
      </c>
      <c r="L1830" s="1">
        <f t="shared" ref="L1830" si="1908">SUM(L1831:L1832)</f>
        <v>0.79943092522473402</v>
      </c>
      <c r="N1830" s="1"/>
    </row>
    <row r="1831" spans="2:14" x14ac:dyDescent="0.35">
      <c r="B1831" s="5" t="str">
        <f t="shared" ref="B1831:C1831" si="1909">B1830</f>
        <v>SPS1</v>
      </c>
      <c r="C1831" s="5" t="str">
        <f t="shared" si="1909"/>
        <v>CH</v>
      </c>
      <c r="D1831" t="s">
        <v>1867</v>
      </c>
      <c r="E1831" t="str">
        <f t="shared" si="1901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1.0072803483242407</v>
      </c>
      <c r="K1831" s="1" cm="1">
        <f t="array" ref="K1831">SUMPRODUCT(([2]OUT_FinalEnergyCons!$B$4:$B$10000="var_cap")*1, (ISNUMBER(SEARCH("RH*-SHNGABR",[2]OUT_FinalEnergyCons!$A$4:$A$10000)))*1,[2]OUT_FinalEnergyCons!I$4:I$10000)</f>
        <v>0.40914985980510543</v>
      </c>
      <c r="L1831" s="1" cm="1">
        <f t="array" ref="L1831">SUMPRODUCT(([2]OUT_FinalEnergyCons!$B$4:$B$10000="var_cap")*1, (ISNUMBER(SEARCH("RH*-SHNGABR",[2]OUT_FinalEnergyCons!$A$4:$A$10000)))*1,[2]OUT_FinalEnergyCons!J$4:J$10000)</f>
        <v>0.22372831874360485</v>
      </c>
      <c r="N1831" s="1"/>
    </row>
    <row r="1832" spans="2:14" x14ac:dyDescent="0.35">
      <c r="B1832" s="5" t="str">
        <f t="shared" ref="B1832:C1832" si="1910">B1831</f>
        <v>SPS1</v>
      </c>
      <c r="C1832" s="5" t="str">
        <f t="shared" si="1910"/>
        <v>CH</v>
      </c>
      <c r="D1832" t="s">
        <v>1868</v>
      </c>
      <c r="E1832" t="str">
        <f t="shared" si="1901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0.54209659628124551</v>
      </c>
      <c r="K1832" s="1" cm="1">
        <f t="array" ref="K1832">SUMPRODUCT(([2]OUT_FinalEnergyCons!$B$4:$B$10000="var_cap")*1,ISNUMBER(SEARCH("RH*-SHngahp",[2]OUT_FinalEnergyCons!$A$4:$A$10000))*1,[2]OUT_FinalEnergyCons!I$4:I$10000)</f>
        <v>0.61721116369588391</v>
      </c>
      <c r="L1832" s="1" cm="1">
        <f t="array" ref="L1832">SUMPRODUCT(([2]OUT_FinalEnergyCons!$B$4:$B$10000="var_cap")*1,ISNUMBER(SEARCH("RH*-SHngahp",[2]OUT_FinalEnergyCons!$A$4:$A$10000))*1,[2]OUT_FinalEnergyCons!J$4:J$10000)</f>
        <v>0.57570260648112914</v>
      </c>
      <c r="N1832" s="1"/>
    </row>
    <row r="1833" spans="2:14" x14ac:dyDescent="0.35">
      <c r="B1833" s="5" t="str">
        <f t="shared" ref="B1833:C1833" si="1911">B1832</f>
        <v>SPS1</v>
      </c>
      <c r="C1833" s="5" t="str">
        <f t="shared" si="1911"/>
        <v>CH</v>
      </c>
      <c r="D1833" t="s">
        <v>1869</v>
      </c>
      <c r="E1833" t="str">
        <f t="shared" si="1901"/>
        <v>GWth/yr.</v>
      </c>
      <c r="F1833" s="1">
        <f>F1834</f>
        <v>7.0000000000000001E-3</v>
      </c>
      <c r="G1833" s="1">
        <f t="shared" ref="G1833:L1833" si="1912">G1834</f>
        <v>6.9551746368697216E-3</v>
      </c>
      <c r="H1833" s="1">
        <f t="shared" si="1912"/>
        <v>2.62374523437949E-3</v>
      </c>
      <c r="I1833" s="1">
        <f t="shared" si="1912"/>
        <v>5.2371564329719948E-5</v>
      </c>
      <c r="J1833" s="1">
        <f t="shared" si="1912"/>
        <v>4.7075242050982277E-7</v>
      </c>
      <c r="K1833" s="1">
        <f t="shared" si="1912"/>
        <v>0</v>
      </c>
      <c r="L1833" s="1">
        <f t="shared" si="1912"/>
        <v>0</v>
      </c>
      <c r="N1833" s="1"/>
    </row>
    <row r="1834" spans="2:14" x14ac:dyDescent="0.35">
      <c r="B1834" s="5" t="str">
        <f t="shared" ref="B1834:C1834" si="1913">B1833</f>
        <v>SPS1</v>
      </c>
      <c r="C1834" s="5" t="str">
        <f t="shared" si="1913"/>
        <v>CH</v>
      </c>
      <c r="D1834" t="s">
        <v>1870</v>
      </c>
      <c r="E1834" t="str">
        <f t="shared" si="1901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4.7075242050982277E-7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14">G1836</f>
        <v>0.7501395719659073</v>
      </c>
      <c r="H1835" s="1">
        <f t="shared" si="1914"/>
        <v>0.81917602924838506</v>
      </c>
      <c r="I1835" s="1">
        <f t="shared" si="1914"/>
        <v>0.81916979157002145</v>
      </c>
      <c r="J1835" s="1">
        <f t="shared" si="1914"/>
        <v>0.63947476926919222</v>
      </c>
      <c r="K1835" s="1">
        <f t="shared" si="1914"/>
        <v>0.5386485508601262</v>
      </c>
      <c r="L1835" s="1">
        <f t="shared" si="1914"/>
        <v>0.31030337269511532</v>
      </c>
      <c r="N1835" s="1"/>
    </row>
    <row r="1836" spans="2:14" x14ac:dyDescent="0.35">
      <c r="B1836" s="5" t="str">
        <f t="shared" ref="B1836:C1836" si="1915">B1835</f>
        <v>SPS1</v>
      </c>
      <c r="C1836" s="5" t="str">
        <f t="shared" si="1915"/>
        <v>CH</v>
      </c>
      <c r="D1836" t="s">
        <v>1872</v>
      </c>
      <c r="E1836" t="str">
        <f t="shared" si="1901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0.63947476926919222</v>
      </c>
      <c r="K1836" s="1" cm="1">
        <f t="array" ref="K1836">SUMPRODUCT(([2]OUT_FinalEnergyCons!$B$4:$B$10000="var_cap")*1, (ISNUMBER(SEARCH("RH*-SHWODBR",[2]OUT_FinalEnergyCons!$A$4:$A$10000)))*1,[2]OUT_FinalEnergyCons!I$4:I$10000)</f>
        <v>0.5386485508601262</v>
      </c>
      <c r="L1836" s="1" cm="1">
        <f t="array" ref="L1836">SUMPRODUCT(([2]OUT_FinalEnergyCons!$B$4:$B$10000="var_cap")*1, (ISNUMBER(SEARCH("RH*-SHWODBR",[2]OUT_FinalEnergyCons!$A$4:$A$10000)))*1,[2]OUT_FinalEnergyCons!J$4:J$10000)</f>
        <v>0.31030337269511532</v>
      </c>
      <c r="N1836" s="1"/>
    </row>
    <row r="1837" spans="2:14" x14ac:dyDescent="0.35">
      <c r="B1837" s="5" t="str">
        <f t="shared" ref="B1837:C1837" si="1916">B1836</f>
        <v>SPS1</v>
      </c>
      <c r="C1837" s="5" t="str">
        <f t="shared" si="1916"/>
        <v>CH</v>
      </c>
      <c r="D1837" t="s">
        <v>1873</v>
      </c>
      <c r="E1837" t="str">
        <f t="shared" si="1901"/>
        <v>GWth/yr.</v>
      </c>
      <c r="F1837" s="1">
        <f>F1838</f>
        <v>0.20438252342496155</v>
      </c>
      <c r="G1837" s="1">
        <f t="shared" ref="G1837:L1837" si="1917">G1838</f>
        <v>0.24032403499440774</v>
      </c>
      <c r="H1837" s="1">
        <f t="shared" si="1917"/>
        <v>7.7926549445773527E-2</v>
      </c>
      <c r="I1837" s="1">
        <f t="shared" si="1917"/>
        <v>7.8778527409194193E-2</v>
      </c>
      <c r="J1837" s="1">
        <f t="shared" si="1917"/>
        <v>4.7452540195923723E-2</v>
      </c>
      <c r="K1837" s="1">
        <f t="shared" si="1917"/>
        <v>5.0152188693935444E-2</v>
      </c>
      <c r="L1837" s="1">
        <f t="shared" si="1917"/>
        <v>4.2555016486117071E-2</v>
      </c>
      <c r="N1837" s="1"/>
    </row>
    <row r="1838" spans="2:14" x14ac:dyDescent="0.35">
      <c r="B1838" s="5" t="str">
        <f t="shared" ref="B1838:C1838" si="1918">B1837</f>
        <v>SPS1</v>
      </c>
      <c r="C1838" s="5" t="str">
        <f t="shared" si="1918"/>
        <v>CH</v>
      </c>
      <c r="D1838" t="s">
        <v>1874</v>
      </c>
      <c r="E1838" t="str">
        <f t="shared" si="1901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4.7452540195923723E-2</v>
      </c>
      <c r="K1838" s="1" cm="1">
        <f t="array" ref="K1838">SUMPRODUCT(([2]OUT_FinalEnergyCons!$B$4:$B$10000="var_cap")*1, (ISNUMBER(SEARCH("RH*-SHPLTBR",[2]OUT_FinalEnergyCons!$A$4:$A$10000)))*1,[2]OUT_FinalEnergyCons!I$4:I$10000)</f>
        <v>5.0152188693935444E-2</v>
      </c>
      <c r="L1838" s="1" cm="1">
        <f t="array" ref="L1838">SUMPRODUCT(([2]OUT_FinalEnergyCons!$B$4:$B$10000="var_cap")*1, (ISNUMBER(SEARCH("RH*-SHPLTBR",[2]OUT_FinalEnergyCons!$A$4:$A$10000)))*1,[2]OUT_FinalEnergyCons!J$4:J$10000)</f>
        <v>4.2555016486117071E-2</v>
      </c>
      <c r="N1838" s="1"/>
    </row>
    <row r="1839" spans="2:14" x14ac:dyDescent="0.35">
      <c r="B1839" s="5" t="str">
        <f t="shared" ref="B1839:C1839" si="1919">B1838</f>
        <v>SPS1</v>
      </c>
      <c r="C1839" s="5" t="str">
        <f t="shared" si="1919"/>
        <v>CH</v>
      </c>
      <c r="D1839" t="s">
        <v>1875</v>
      </c>
      <c r="E1839" t="str">
        <f t="shared" si="1901"/>
        <v>GWth/yr.</v>
      </c>
      <c r="F1839" s="1">
        <f>F1840</f>
        <v>0.1140740784966027</v>
      </c>
      <c r="G1839" s="1">
        <f t="shared" ref="G1839:L1839" si="1920">G1840</f>
        <v>0.1368630485552331</v>
      </c>
      <c r="H1839" s="1">
        <f t="shared" si="1920"/>
        <v>0.13521325258917055</v>
      </c>
      <c r="I1839" s="1">
        <f t="shared" si="1920"/>
        <v>0.1351881700015915</v>
      </c>
      <c r="J1839" s="1">
        <f t="shared" si="1920"/>
        <v>3.8769587387899998E-2</v>
      </c>
      <c r="K1839" s="1">
        <f t="shared" si="1920"/>
        <v>6.4183639559704936E-3</v>
      </c>
      <c r="L1839" s="1">
        <f t="shared" si="1920"/>
        <v>6.9419688627710297E-3</v>
      </c>
      <c r="N1839" s="1"/>
    </row>
    <row r="1840" spans="2:14" x14ac:dyDescent="0.35">
      <c r="B1840" s="5" t="str">
        <f t="shared" ref="B1840:C1840" si="1921">B1839</f>
        <v>SPS1</v>
      </c>
      <c r="C1840" s="5" t="str">
        <f t="shared" si="1921"/>
        <v>CH</v>
      </c>
      <c r="D1840" t="s">
        <v>1876</v>
      </c>
      <c r="E1840" t="str">
        <f t="shared" si="1901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3.8769587387899998E-2</v>
      </c>
      <c r="K1840" s="1" cm="1">
        <f t="array" ref="K1840">SUMPRODUCT(([2]OUT_FinalEnergyCons!$B$4:$B$10000="var_cap")*1, (ISNUMBER(SEARCH("RH*-SHSOLBR",[2]OUT_FinalEnergyCons!$A$4:$A$10000)))*1,[2]OUT_FinalEnergyCons!I$4:I$10000)</f>
        <v>6.4183639559704936E-3</v>
      </c>
      <c r="L1840" s="1" cm="1">
        <f t="array" ref="L1840">SUMPRODUCT(([2]OUT_FinalEnergyCons!$B$4:$B$10000="var_cap")*1, (ISNUMBER(SEARCH("RH*-SHSOLBR",[2]OUT_FinalEnergyCons!$A$4:$A$10000)))*1,[2]OUT_FinalEnergyCons!J$4:J$10000)</f>
        <v>6.9419688627710297E-3</v>
      </c>
      <c r="N1840" s="1"/>
    </row>
    <row r="1841" spans="2:14" x14ac:dyDescent="0.35">
      <c r="B1841" s="5" t="str">
        <f t="shared" ref="B1841:C1841" si="1922">B1840</f>
        <v>SPS1</v>
      </c>
      <c r="C1841" s="5" t="str">
        <f t="shared" si="1922"/>
        <v>CH</v>
      </c>
      <c r="D1841" t="s">
        <v>1877</v>
      </c>
      <c r="E1841" t="str">
        <f t="shared" si="1901"/>
        <v>GWth/yr.</v>
      </c>
      <c r="F1841" s="1">
        <f>F1842</f>
        <v>0</v>
      </c>
      <c r="G1841" s="1">
        <f t="shared" ref="G1841:L1841" si="1923">G1842</f>
        <v>0</v>
      </c>
      <c r="H1841" s="1">
        <f t="shared" si="1923"/>
        <v>0</v>
      </c>
      <c r="I1841" s="1">
        <f t="shared" si="1923"/>
        <v>0</v>
      </c>
      <c r="J1841" s="1">
        <f t="shared" si="1923"/>
        <v>0</v>
      </c>
      <c r="K1841" s="1">
        <f t="shared" si="1923"/>
        <v>0</v>
      </c>
      <c r="L1841" s="1">
        <f t="shared" si="1923"/>
        <v>0</v>
      </c>
      <c r="N1841" s="1"/>
    </row>
    <row r="1842" spans="2:14" x14ac:dyDescent="0.35">
      <c r="B1842" s="5" t="str">
        <f t="shared" ref="B1842:C1842" si="1924">B1841</f>
        <v>SPS1</v>
      </c>
      <c r="C1842" s="5" t="str">
        <f t="shared" si="1924"/>
        <v>CH</v>
      </c>
      <c r="D1842" t="s">
        <v>1878</v>
      </c>
      <c r="E1842" t="str">
        <f t="shared" si="1901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5">B1842</f>
        <v>SPS1</v>
      </c>
      <c r="C1843" s="5" t="str">
        <f t="shared" si="1925"/>
        <v>CH</v>
      </c>
      <c r="D1843" t="s">
        <v>1879</v>
      </c>
      <c r="E1843" t="str">
        <f t="shared" si="1901"/>
        <v>GWth/yr.</v>
      </c>
      <c r="F1843" s="1">
        <f>SUM(F1844,F1847,F1849,F1852,F1854,F1856,F1858,F1860)</f>
        <v>1.8609914901544777</v>
      </c>
      <c r="G1843" s="1">
        <f t="shared" ref="G1843" si="1926">SUM(G1844,G1847,G1849,G1852,G1854,G1856,G1858,G1860)</f>
        <v>1.9870691661781157</v>
      </c>
      <c r="H1843" s="1">
        <f t="shared" ref="H1843" si="1927">SUM(H1844,H1847,H1849,H1852,H1854,H1856,H1858,H1860)</f>
        <v>1.8657823513833613</v>
      </c>
      <c r="I1843" s="1">
        <f t="shared" ref="I1843" si="1928">SUM(I1844,I1847,I1849,I1852,I1854,I1856,I1858,I1860)</f>
        <v>2.0119791144749399</v>
      </c>
      <c r="J1843" s="1">
        <f t="shared" ref="J1843" si="1929">SUM(J1844,J1847,J1849,J1852,J1854,J1856,J1858,J1860)</f>
        <v>1.9069978544710511</v>
      </c>
      <c r="K1843" s="1">
        <f t="shared" ref="K1843:L1843" si="1930">SUM(K1844,K1847,K1849,K1852,K1854,K1856,K1858,K1860)</f>
        <v>2.1811334485906912</v>
      </c>
      <c r="L1843" s="1">
        <f t="shared" si="1930"/>
        <v>2.4099360238631049</v>
      </c>
      <c r="N1843" s="1"/>
    </row>
    <row r="1844" spans="2:14" x14ac:dyDescent="0.35">
      <c r="B1844" s="5" t="str">
        <f t="shared" ref="B1844:C1844" si="1931">B1843</f>
        <v>SPS1</v>
      </c>
      <c r="C1844" s="5" t="str">
        <f t="shared" si="1931"/>
        <v>CH</v>
      </c>
      <c r="D1844" t="s">
        <v>1880</v>
      </c>
      <c r="E1844" t="str">
        <f t="shared" si="1901"/>
        <v>GWth/yr.</v>
      </c>
      <c r="F1844" s="1">
        <f>SUM(F1845:F1846)</f>
        <v>0.65093338163233316</v>
      </c>
      <c r="G1844" s="1">
        <f t="shared" ref="G1844" si="1932">SUM(G1845:G1846)</f>
        <v>0.71793503133946224</v>
      </c>
      <c r="H1844" s="1">
        <f t="shared" ref="H1844" si="1933">SUM(H1845:H1846)</f>
        <v>0.68243737412686367</v>
      </c>
      <c r="I1844" s="1">
        <f t="shared" ref="I1844" si="1934">SUM(I1845:I1846)</f>
        <v>0.87017300079323601</v>
      </c>
      <c r="J1844" s="1">
        <f t="shared" ref="J1844" si="1935">SUM(J1845:J1846)</f>
        <v>1.0132184730373841</v>
      </c>
      <c r="K1844" s="1">
        <f t="shared" ref="K1844:L1844" si="1936">SUM(K1845:K1846)</f>
        <v>1.2466313577648744</v>
      </c>
      <c r="L1844" s="1">
        <f t="shared" si="1936"/>
        <v>1.4560437232688233</v>
      </c>
      <c r="N1844" s="1"/>
    </row>
    <row r="1845" spans="2:14" x14ac:dyDescent="0.35">
      <c r="B1845" s="5" t="str">
        <f t="shared" ref="B1845:C1845" si="1937">B1844</f>
        <v>SPS1</v>
      </c>
      <c r="C1845" s="5" t="str">
        <f t="shared" si="1937"/>
        <v>CH</v>
      </c>
      <c r="D1845" t="s">
        <v>1881</v>
      </c>
      <c r="E1845" t="str">
        <f t="shared" si="1901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0.13945263280203779</v>
      </c>
      <c r="K1845" s="1" cm="1">
        <f t="array" ref="K1845">SUMPRODUCT(([2]OUT_FinalEnergyCons!$B$4:$B$10000="var_cap")*1,(ISNUMBER(SEARCH("RH*-WHELCBR",[2]OUT_FinalEnergyCons!$A$4:$A$10000)))*1,[2]OUT_FinalEnergyCons!I$4:I$10000)</f>
        <v>0.13977087855821529</v>
      </c>
      <c r="L1845" s="1" cm="1">
        <f t="array" ref="L1845">SUMPRODUCT(([2]OUT_FinalEnergyCons!$B$4:$B$10000="var_cap")*1,(ISNUMBER(SEARCH("RH*-WHELCBR",[2]OUT_FinalEnergyCons!$A$4:$A$10000)))*1,[2]OUT_FinalEnergyCons!J$4:J$10000)</f>
        <v>0.13122077152276576</v>
      </c>
      <c r="N1845" s="1"/>
    </row>
    <row r="1846" spans="2:14" x14ac:dyDescent="0.35">
      <c r="B1846" s="5" t="str">
        <f t="shared" ref="B1846:C1846" si="1938">B1845</f>
        <v>SPS1</v>
      </c>
      <c r="C1846" s="5" t="str">
        <f t="shared" si="1938"/>
        <v>CH</v>
      </c>
      <c r="D1846" t="s">
        <v>1882</v>
      </c>
      <c r="E1846" t="str">
        <f t="shared" si="1901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0.87376584023534631</v>
      </c>
      <c r="K1846" s="1" cm="1">
        <f t="array" ref="K1846">SUMPRODUCT(([2]OUT_FinalEnergyCons!$B$4:$B$10000="var_cap")*1,ISNUMBER(SEARCH("RH*-WHELCHP",[2]OUT_FinalEnergyCons!$A$4:$A$10000))*1,[2]OUT_FinalEnergyCons!I$4:I$10000)</f>
        <v>1.1068604792066592</v>
      </c>
      <c r="L1846" s="1" cm="1">
        <f t="array" ref="L1846">SUMPRODUCT(([2]OUT_FinalEnergyCons!$B$4:$B$10000="var_cap")*1,ISNUMBER(SEARCH("RH*-WHELCHP",[2]OUT_FinalEnergyCons!$A$4:$A$10000))*1,[2]OUT_FinalEnergyCons!J$4:J$10000)</f>
        <v>1.3248229517460575</v>
      </c>
      <c r="N1846" s="1"/>
    </row>
    <row r="1847" spans="2:14" x14ac:dyDescent="0.35">
      <c r="B1847" s="5" t="str">
        <f t="shared" ref="B1847:C1847" si="1939">B1846</f>
        <v>SPS1</v>
      </c>
      <c r="C1847" s="5" t="str">
        <f t="shared" si="1939"/>
        <v>CH</v>
      </c>
      <c r="D1847" t="s">
        <v>1883</v>
      </c>
      <c r="E1847" t="str">
        <f t="shared" si="1901"/>
        <v>GWth/yr.</v>
      </c>
      <c r="F1847" s="1">
        <f>F1848</f>
        <v>0.47738433216181703</v>
      </c>
      <c r="G1847" s="1">
        <f t="shared" ref="G1847" si="1940">G1848</f>
        <v>0.45664987800940071</v>
      </c>
      <c r="H1847" s="1">
        <f t="shared" ref="H1847" si="1941">H1848</f>
        <v>0.31381645604129649</v>
      </c>
      <c r="I1847" s="1">
        <f t="shared" ref="I1847" si="1942">I1848</f>
        <v>0.26559217311397654</v>
      </c>
      <c r="J1847" s="1">
        <f t="shared" ref="J1847" si="1943">J1848</f>
        <v>9.1521503127227899E-2</v>
      </c>
      <c r="K1847" s="1">
        <f t="shared" ref="K1847:L1847" si="1944">K1848</f>
        <v>4.3111944040944879E-2</v>
      </c>
      <c r="L1847" s="1">
        <f t="shared" si="1944"/>
        <v>4.1874828395046977E-3</v>
      </c>
      <c r="N1847" s="1"/>
    </row>
    <row r="1848" spans="2:14" x14ac:dyDescent="0.35">
      <c r="B1848" s="5" t="str">
        <f t="shared" ref="B1848:C1848" si="1945">B1847</f>
        <v>SPS1</v>
      </c>
      <c r="C1848" s="5" t="str">
        <f t="shared" si="1945"/>
        <v>CH</v>
      </c>
      <c r="D1848" t="s">
        <v>1884</v>
      </c>
      <c r="E1848" t="str">
        <f t="shared" si="1901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9.1521503127227899E-2</v>
      </c>
      <c r="K1848" s="1" cm="1">
        <f t="array" ref="K1848">SUMPRODUCT(([2]OUT_FinalEnergyCons!$B$4:$B$10000="var_cap")*1, (ISNUMBER(SEARCH("RH*-WHLFOBR",[2]OUT_FinalEnergyCons!$A$4:$A$10000)))*1,[2]OUT_FinalEnergyCons!I$4:I$10000)</f>
        <v>4.3111944040944879E-2</v>
      </c>
      <c r="L1848" s="1" cm="1">
        <f t="array" ref="L1848">SUMPRODUCT(([2]OUT_FinalEnergyCons!$B$4:$B$10000="var_cap")*1, (ISNUMBER(SEARCH("RH*-WHLFOBR",[2]OUT_FinalEnergyCons!$A$4:$A$10000)))*1,[2]OUT_FinalEnergyCons!J$4:J$10000)</f>
        <v>4.1874828395046977E-3</v>
      </c>
      <c r="N1848" s="1"/>
    </row>
    <row r="1849" spans="2:14" x14ac:dyDescent="0.35">
      <c r="B1849" s="5" t="str">
        <f t="shared" ref="B1849:C1849" si="1946">B1848</f>
        <v>SPS1</v>
      </c>
      <c r="C1849" s="5" t="str">
        <f t="shared" si="1946"/>
        <v>CH</v>
      </c>
      <c r="D1849" t="s">
        <v>1885</v>
      </c>
      <c r="E1849" t="str">
        <f t="shared" si="1901"/>
        <v>GWth/yr.</v>
      </c>
      <c r="F1849" s="1">
        <f>SUM(F1850:F1851)</f>
        <v>0.43610075806793741</v>
      </c>
      <c r="G1849" s="1">
        <f t="shared" ref="G1849" si="1947">SUM(G1850:G1851)</f>
        <v>0.42633273128324595</v>
      </c>
      <c r="H1849" s="1">
        <f t="shared" ref="H1849" si="1948">SUM(H1850:H1851)</f>
        <v>0.43964144805900529</v>
      </c>
      <c r="I1849" s="1">
        <f t="shared" ref="I1849" si="1949">SUM(I1850:I1851)</f>
        <v>0.44365033351026179</v>
      </c>
      <c r="J1849" s="1">
        <f t="shared" ref="J1849" si="1950">SUM(J1850:J1851)</f>
        <v>0.34190486697463618</v>
      </c>
      <c r="K1849" s="1">
        <f t="shared" ref="K1849:L1849" si="1951">SUM(K1850:K1851)</f>
        <v>0.33546055059220864</v>
      </c>
      <c r="L1849" s="1">
        <f t="shared" si="1951"/>
        <v>0.32644656000799838</v>
      </c>
      <c r="N1849" s="1"/>
    </row>
    <row r="1850" spans="2:14" x14ac:dyDescent="0.35">
      <c r="B1850" s="5" t="str">
        <f t="shared" ref="B1850:C1850" si="1952">B1849</f>
        <v>SPS1</v>
      </c>
      <c r="C1850" s="5" t="str">
        <f t="shared" si="1952"/>
        <v>CH</v>
      </c>
      <c r="D1850" t="s">
        <v>1886</v>
      </c>
      <c r="E1850" t="str">
        <f t="shared" si="1901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0.14638058154695222</v>
      </c>
      <c r="K1850" s="1" cm="1">
        <f t="array" ref="K1850">SUMPRODUCT(([2]OUT_FinalEnergyCons!$B$4:$B$10000="var_cap")*1, (ISNUMBER(SEARCH("RH*-WHNGABR",[2]OUT_FinalEnergyCons!$A$4:$A$10000)))*1,[2]OUT_FinalEnergyCons!I$4:I$10000)</f>
        <v>7.9877906252738162E-2</v>
      </c>
      <c r="L1850" s="1" cm="1">
        <f t="array" ref="L1850">SUMPRODUCT(([2]OUT_FinalEnergyCons!$B$4:$B$10000="var_cap")*1, (ISNUMBER(SEARCH("RH*-WHNGABR",[2]OUT_FinalEnergyCons!$A$4:$A$10000)))*1,[2]OUT_FinalEnergyCons!J$4:J$10000)</f>
        <v>4.4428698699339859E-2</v>
      </c>
      <c r="N1850" s="1"/>
    </row>
    <row r="1851" spans="2:14" x14ac:dyDescent="0.35">
      <c r="B1851" s="5" t="str">
        <f t="shared" ref="B1851:C1851" si="1953">B1850</f>
        <v>SPS1</v>
      </c>
      <c r="C1851" s="5" t="str">
        <f t="shared" si="1953"/>
        <v>CH</v>
      </c>
      <c r="D1851" t="s">
        <v>1887</v>
      </c>
      <c r="E1851" t="str">
        <f t="shared" si="1901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0.19552428542768399</v>
      </c>
      <c r="K1851" s="1" cm="1">
        <f t="array" ref="K1851">SUMPRODUCT(([2]OUT_FinalEnergyCons!$B$4:$B$10000="var_cap")*1,ISNUMBER(SEARCH("RH*-WHngahp",[2]OUT_FinalEnergyCons!$A$4:$A$10000))*1,[2]OUT_FinalEnergyCons!I$4:I$10000)</f>
        <v>0.25558264433947048</v>
      </c>
      <c r="L1851" s="1" cm="1">
        <f t="array" ref="L1851">SUMPRODUCT(([2]OUT_FinalEnergyCons!$B$4:$B$10000="var_cap")*1,ISNUMBER(SEARCH("RH*-WHngahp",[2]OUT_FinalEnergyCons!$A$4:$A$10000))*1,[2]OUT_FinalEnergyCons!J$4:J$10000)</f>
        <v>0.28201786130865852</v>
      </c>
      <c r="N1851" s="1"/>
    </row>
    <row r="1852" spans="2:14" x14ac:dyDescent="0.35">
      <c r="B1852" s="5" t="str">
        <f t="shared" ref="B1852:C1852" si="1954">B1851</f>
        <v>SPS1</v>
      </c>
      <c r="C1852" s="5" t="str">
        <f t="shared" si="1954"/>
        <v>CH</v>
      </c>
      <c r="D1852" t="s">
        <v>1888</v>
      </c>
      <c r="E1852" t="str">
        <f t="shared" si="1901"/>
        <v>GWth/yr.</v>
      </c>
      <c r="F1852" s="1">
        <f>F1853</f>
        <v>0</v>
      </c>
      <c r="G1852" s="1">
        <f t="shared" ref="G1852" si="1955">G1853</f>
        <v>0</v>
      </c>
      <c r="H1852" s="1">
        <f t="shared" ref="H1852" si="1956">H1853</f>
        <v>0</v>
      </c>
      <c r="I1852" s="1">
        <f t="shared" ref="I1852" si="1957">I1853</f>
        <v>0</v>
      </c>
      <c r="J1852" s="1">
        <f t="shared" ref="J1852" si="1958">J1853</f>
        <v>0</v>
      </c>
      <c r="K1852" s="1">
        <f t="shared" ref="K1852:L1852" si="1959">K1853</f>
        <v>0</v>
      </c>
      <c r="L1852" s="1">
        <f t="shared" si="1959"/>
        <v>0</v>
      </c>
      <c r="N1852" s="1"/>
    </row>
    <row r="1853" spans="2:14" x14ac:dyDescent="0.35">
      <c r="B1853" s="5" t="str">
        <f t="shared" ref="B1853:C1853" si="1960">B1852</f>
        <v>SPS1</v>
      </c>
      <c r="C1853" s="5" t="str">
        <f t="shared" si="1960"/>
        <v>CH</v>
      </c>
      <c r="D1853" t="s">
        <v>1889</v>
      </c>
      <c r="E1853" t="str">
        <f t="shared" si="1901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1">B1853</f>
        <v>SPS1</v>
      </c>
      <c r="C1854" s="5" t="str">
        <f t="shared" si="1961"/>
        <v>CH</v>
      </c>
      <c r="D1854" t="s">
        <v>1890</v>
      </c>
      <c r="E1854" t="str">
        <f t="shared" si="1901"/>
        <v>GWth/yr.</v>
      </c>
      <c r="F1854" s="1">
        <f>F1855</f>
        <v>3.5322010722483803E-2</v>
      </c>
      <c r="G1854" s="1">
        <f t="shared" ref="G1854" si="1962">G1855</f>
        <v>4.0447914262925495E-2</v>
      </c>
      <c r="H1854" s="1">
        <f t="shared" ref="H1854" si="1963">H1855</f>
        <v>8.4189417954724399E-2</v>
      </c>
      <c r="I1854" s="1">
        <f t="shared" ref="I1854" si="1964">I1855</f>
        <v>8.6862213635271371E-2</v>
      </c>
      <c r="J1854" s="1">
        <f t="shared" ref="J1854" si="1965">J1855</f>
        <v>8.3871217546398813E-2</v>
      </c>
      <c r="K1854" s="1">
        <f t="shared" ref="K1854:L1854" si="1966">K1855</f>
        <v>8.1490574062220489E-2</v>
      </c>
      <c r="L1854" s="1">
        <f t="shared" si="1966"/>
        <v>6.3629095023711169E-2</v>
      </c>
      <c r="N1854" s="1"/>
    </row>
    <row r="1855" spans="2:14" x14ac:dyDescent="0.35">
      <c r="B1855" s="5" t="str">
        <f t="shared" ref="B1855:C1855" si="1967">B1854</f>
        <v>SPS1</v>
      </c>
      <c r="C1855" s="5" t="str">
        <f t="shared" si="1967"/>
        <v>CH</v>
      </c>
      <c r="D1855" t="s">
        <v>1891</v>
      </c>
      <c r="E1855" t="str">
        <f t="shared" si="1901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8.3871217546398813E-2</v>
      </c>
      <c r="K1855" s="1" cm="1">
        <f t="array" ref="K1855">SUMPRODUCT(([2]OUT_FinalEnergyCons!$B$4:$B$10000="var_cap")*1, (ISNUMBER(SEARCH("RH*-WHWODBR",[2]OUT_FinalEnergyCons!$A$4:$A$10000)))*1,[2]OUT_FinalEnergyCons!I$4:I$10000)</f>
        <v>8.1490574062220489E-2</v>
      </c>
      <c r="L1855" s="1" cm="1">
        <f t="array" ref="L1855">SUMPRODUCT(([2]OUT_FinalEnergyCons!$B$4:$B$10000="var_cap")*1, (ISNUMBER(SEARCH("RH*-WHWODBR",[2]OUT_FinalEnergyCons!$A$4:$A$10000)))*1,[2]OUT_FinalEnergyCons!J$4:J$10000)</f>
        <v>6.3629095023711169E-2</v>
      </c>
      <c r="N1855" s="1"/>
    </row>
    <row r="1856" spans="2:14" x14ac:dyDescent="0.35">
      <c r="B1856" s="5" t="str">
        <f t="shared" ref="B1856:C1856" si="1968">B1855</f>
        <v>SPS1</v>
      </c>
      <c r="C1856" s="5" t="str">
        <f t="shared" si="1968"/>
        <v>CH</v>
      </c>
      <c r="D1856" t="s">
        <v>1892</v>
      </c>
      <c r="E1856" t="str">
        <f t="shared" si="1901"/>
        <v>GWth/yr.</v>
      </c>
      <c r="F1856" s="1">
        <f>F1857</f>
        <v>1.12410901121583E-2</v>
      </c>
      <c r="G1856" s="1">
        <f t="shared" ref="G1856" si="1969">G1857</f>
        <v>1.319532527040727E-2</v>
      </c>
      <c r="H1856" s="1">
        <f t="shared" ref="H1856" si="1970">H1857</f>
        <v>1.3190923012013953E-2</v>
      </c>
      <c r="I1856" s="1">
        <f t="shared" ref="I1856" si="1971">I1857</f>
        <v>1.3190857897046339E-2</v>
      </c>
      <c r="J1856" s="1">
        <f t="shared" ref="J1856" si="1972">J1857</f>
        <v>1.3033203700795149E-2</v>
      </c>
      <c r="K1856" s="1">
        <f t="shared" ref="K1856:L1856" si="1973">K1857</f>
        <v>1.4941867210661019E-2</v>
      </c>
      <c r="L1856" s="1">
        <f t="shared" si="1973"/>
        <v>1.4883840071456603E-2</v>
      </c>
      <c r="N1856" s="1"/>
    </row>
    <row r="1857" spans="2:14" x14ac:dyDescent="0.35">
      <c r="B1857" s="5" t="str">
        <f t="shared" ref="B1857:C1857" si="1974">B1856</f>
        <v>SPS1</v>
      </c>
      <c r="C1857" s="5" t="str">
        <f t="shared" si="1974"/>
        <v>CH</v>
      </c>
      <c r="D1857" t="s">
        <v>1893</v>
      </c>
      <c r="E1857" t="str">
        <f t="shared" si="1901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1.3033203700795149E-2</v>
      </c>
      <c r="K1857" s="1" cm="1">
        <f t="array" ref="K1857">SUMPRODUCT(([2]OUT_FinalEnergyCons!$B$4:$B$10000="var_cap")*1, (ISNUMBER(SEARCH("RH*-WHPLTBR",[2]OUT_FinalEnergyCons!$A$4:$A$10000)))*1,[2]OUT_FinalEnergyCons!I$4:I$10000)</f>
        <v>1.4941867210661019E-2</v>
      </c>
      <c r="L1857" s="1" cm="1">
        <f t="array" ref="L1857">SUMPRODUCT(([2]OUT_FinalEnergyCons!$B$4:$B$10000="var_cap")*1, (ISNUMBER(SEARCH("RH*-WHPLTBR",[2]OUT_FinalEnergyCons!$A$4:$A$10000)))*1,[2]OUT_FinalEnergyCons!J$4:J$10000)</f>
        <v>1.4883840071456603E-2</v>
      </c>
      <c r="N1857" s="1"/>
    </row>
    <row r="1858" spans="2:14" x14ac:dyDescent="0.35">
      <c r="B1858" s="5" t="str">
        <f t="shared" ref="B1858:C1858" si="1975">B1857</f>
        <v>SPS1</v>
      </c>
      <c r="C1858" s="5" t="str">
        <f t="shared" si="1975"/>
        <v>CH</v>
      </c>
      <c r="D1858" t="s">
        <v>1894</v>
      </c>
      <c r="E1858" t="str">
        <f t="shared" si="1901"/>
        <v>GWth/yr.</v>
      </c>
      <c r="F1858" s="1">
        <f>F1859</f>
        <v>0.25000991745774798</v>
      </c>
      <c r="G1858" s="1">
        <f t="shared" ref="G1858" si="1976">G1859</f>
        <v>0.33250828601267401</v>
      </c>
      <c r="H1858" s="1">
        <f t="shared" ref="H1858" si="1977">H1859</f>
        <v>0.33250673218945737</v>
      </c>
      <c r="I1858" s="1">
        <f t="shared" ref="I1858" si="1978">I1859</f>
        <v>0.33251053552514792</v>
      </c>
      <c r="J1858" s="1">
        <f t="shared" ref="J1858" si="1979">J1859</f>
        <v>0.36344859008460867</v>
      </c>
      <c r="K1858" s="1">
        <f t="shared" ref="K1858:L1858" si="1980">K1859</f>
        <v>0.45949715491978183</v>
      </c>
      <c r="L1858" s="1">
        <f t="shared" si="1980"/>
        <v>0.54474532265161046</v>
      </c>
      <c r="N1858" s="1"/>
    </row>
    <row r="1859" spans="2:14" x14ac:dyDescent="0.35">
      <c r="B1859" s="5" t="str">
        <f t="shared" ref="B1859:C1859" si="1981">B1858</f>
        <v>SPS1</v>
      </c>
      <c r="C1859" s="5" t="str">
        <f t="shared" si="1981"/>
        <v>CH</v>
      </c>
      <c r="D1859" t="s">
        <v>1895</v>
      </c>
      <c r="E1859" t="str">
        <f t="shared" si="1901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0.36344859008460867</v>
      </c>
      <c r="K1859" s="1" cm="1">
        <f t="array" ref="K1859">SUMPRODUCT(([2]OUT_FinalEnergyCons!$B$4:$B$10000="var_cap")*1, (ISNUMBER(SEARCH("RH*-WHSOLBR",[2]OUT_FinalEnergyCons!$A$4:$A$10000)))*1,[2]OUT_FinalEnergyCons!I$4:I$10000)</f>
        <v>0.45949715491978183</v>
      </c>
      <c r="L1859" s="1" cm="1">
        <f t="array" ref="L1859">SUMPRODUCT(([2]OUT_FinalEnergyCons!$B$4:$B$10000="var_cap")*1, (ISNUMBER(SEARCH("RH*-WHSOLBR",[2]OUT_FinalEnergyCons!$A$4:$A$10000)))*1,[2]OUT_FinalEnergyCons!J$4:J$10000)</f>
        <v>0.54474532265161046</v>
      </c>
      <c r="N1859" s="1"/>
    </row>
    <row r="1860" spans="2:14" x14ac:dyDescent="0.35">
      <c r="B1860" s="5" t="str">
        <f t="shared" ref="B1860:C1860" si="1982">B1859</f>
        <v>SPS1</v>
      </c>
      <c r="C1860" s="5" t="str">
        <f t="shared" si="1982"/>
        <v>CH</v>
      </c>
      <c r="D1860" t="s">
        <v>1896</v>
      </c>
      <c r="E1860" t="str">
        <f t="shared" si="1901"/>
        <v>GWth/yr.</v>
      </c>
      <c r="F1860" s="1">
        <f>F1861</f>
        <v>0</v>
      </c>
      <c r="G1860" s="1">
        <f t="shared" ref="G1860" si="1983">G1861</f>
        <v>0</v>
      </c>
      <c r="H1860" s="1">
        <f t="shared" ref="H1860" si="1984">H1861</f>
        <v>0</v>
      </c>
      <c r="I1860" s="1">
        <f t="shared" ref="I1860" si="1985">I1861</f>
        <v>0</v>
      </c>
      <c r="J1860" s="1">
        <f t="shared" ref="J1860" si="1986">J1861</f>
        <v>0</v>
      </c>
      <c r="K1860" s="1">
        <f t="shared" ref="K1860:L1860" si="1987">K1861</f>
        <v>0</v>
      </c>
      <c r="L1860" s="1">
        <f t="shared" si="1987"/>
        <v>0</v>
      </c>
      <c r="N1860" s="1"/>
    </row>
    <row r="1861" spans="2:14" x14ac:dyDescent="0.35">
      <c r="B1861" s="5" t="str">
        <f t="shared" ref="B1861:C1865" si="1988">B1860</f>
        <v>SPS1</v>
      </c>
      <c r="C1861" s="5" t="str">
        <f t="shared" si="1988"/>
        <v>CH</v>
      </c>
      <c r="D1861" t="s">
        <v>1897</v>
      </c>
      <c r="E1861" t="str">
        <f t="shared" si="1901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8"/>
        <v>SPS1</v>
      </c>
      <c r="C1862" s="9" t="str">
        <f t="shared" si="1988"/>
        <v>CH</v>
      </c>
      <c r="D1862" s="2" t="s">
        <v>1899</v>
      </c>
      <c r="E1862" s="9" t="str">
        <f t="shared" si="1901"/>
        <v>GWth/yr.</v>
      </c>
      <c r="F1862" s="17">
        <f>SUM(F1863,F1866,F1869,F1873,F1875,F1877,F1879,F1881,F1883)</f>
        <v>3.6007731194993062</v>
      </c>
      <c r="G1862" s="17">
        <f t="shared" ref="G1862:K1862" si="1989">SUM(G1863,G1866,G1869,G1873,G1875,G1877,G1879,G1881,G1883)</f>
        <v>3.7789051715946256</v>
      </c>
      <c r="H1862" s="17">
        <f t="shared" si="1989"/>
        <v>3.6535294808670611</v>
      </c>
      <c r="I1862" s="17">
        <f t="shared" si="1989"/>
        <v>3.6878097742058475</v>
      </c>
      <c r="J1862" s="17">
        <f t="shared" si="1989"/>
        <v>3.5721272541310158</v>
      </c>
      <c r="K1862" s="17">
        <f t="shared" si="1989"/>
        <v>3.1554547128323582</v>
      </c>
      <c r="L1862" s="17">
        <f t="shared" ref="L1862" si="1990">SUM(L1863,L1866,L1869,L1873,L1875,L1877,L1879,L1881,L1883)</f>
        <v>3.0301199673982122</v>
      </c>
      <c r="N1862" s="1"/>
    </row>
    <row r="1863" spans="2:14" x14ac:dyDescent="0.35">
      <c r="B1863" s="5" t="str">
        <f>B1862</f>
        <v>SPS1</v>
      </c>
      <c r="C1863" s="5" t="str">
        <f t="shared" si="1988"/>
        <v>CH</v>
      </c>
      <c r="D1863" t="s">
        <v>2093</v>
      </c>
      <c r="E1863" t="str">
        <f t="shared" si="1901"/>
        <v>GWth/yr.</v>
      </c>
      <c r="F1863" s="18">
        <f>SUM(F1864:F1865)</f>
        <v>0.61671309762324311</v>
      </c>
      <c r="G1863" s="18">
        <f t="shared" ref="G1863:K1863" si="1991">SUM(G1864:G1865)</f>
        <v>0.83041291732566824</v>
      </c>
      <c r="H1863" s="18">
        <f t="shared" si="1991"/>
        <v>0.8322951026637162</v>
      </c>
      <c r="I1863" s="18">
        <f t="shared" si="1991"/>
        <v>1.1895383892001721</v>
      </c>
      <c r="J1863" s="18">
        <f t="shared" si="1991"/>
        <v>1.3376943357605124</v>
      </c>
      <c r="K1863" s="18">
        <f t="shared" si="1991"/>
        <v>1.2142683141934343</v>
      </c>
      <c r="L1863" s="18">
        <f t="shared" ref="L1863" si="1992">SUM(L1864:L1865)</f>
        <v>1.4471742939196952</v>
      </c>
      <c r="N1863" s="1"/>
    </row>
    <row r="1864" spans="2:14" x14ac:dyDescent="0.35">
      <c r="B1864" s="5" t="str">
        <f t="shared" ref="B1864:B1865" si="1993">B1863</f>
        <v>SPS1</v>
      </c>
      <c r="C1864" s="5" t="str">
        <f t="shared" si="1988"/>
        <v>CH</v>
      </c>
      <c r="D1864" t="s">
        <v>2094</v>
      </c>
      <c r="E1864" t="str">
        <f t="shared" si="1901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0.97636181483188345</v>
      </c>
      <c r="K1864" s="1" cm="1">
        <f t="array" ref="K1864">SUMPRODUCT(([2]OUT_FinalEnergyCons!$B$4:$B$10000="Var_cap")*1,  (ISNUMBER(SEARCH("ITOT-SWHELCBR",[2]OUT_FinalEnergyCons!$A$4:$A$10000)))*1,[2]OUT_FinalEnergyCons!I$4:I$10000)</f>
        <v>0.84609726502931193</v>
      </c>
      <c r="L1864" s="1" cm="1">
        <f t="array" ref="L1864">SUMPRODUCT(([2]OUT_FinalEnergyCons!$B$4:$B$10000="Var_cap")*1,  (ISNUMBER(SEARCH("ITOT-SWHELCBR",[2]OUT_FinalEnergyCons!$A$4:$A$10000)))*1,[2]OUT_FinalEnergyCons!J$4:J$10000)</f>
        <v>0.96566245078803647</v>
      </c>
      <c r="N1864" s="1"/>
    </row>
    <row r="1865" spans="2:14" x14ac:dyDescent="0.35">
      <c r="B1865" s="5" t="str">
        <f t="shared" si="1993"/>
        <v>SPS1</v>
      </c>
      <c r="C1865" s="5" t="str">
        <f t="shared" si="1988"/>
        <v>CH</v>
      </c>
      <c r="D1865" t="s">
        <v>2095</v>
      </c>
      <c r="E1865" t="str">
        <f t="shared" si="1901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0.361332520928629</v>
      </c>
      <c r="K1865" s="1" cm="1">
        <f t="array" ref="K1865">SUMPRODUCT(([2]OUT_FinalEnergyCons!$B$4:$B$10000="Var_cap")*1,  (ISNUMBER(SEARCH("ITOT-SWHELCHP",[2]OUT_FinalEnergyCons!$A$4:$A$10000)))*1,[2]OUT_FinalEnergyCons!I$4:I$10000)</f>
        <v>0.36817104916412235</v>
      </c>
      <c r="L1865" s="1" cm="1">
        <f t="array" ref="L1865">SUMPRODUCT(([2]OUT_FinalEnergyCons!$B$4:$B$10000="Var_cap")*1,  (ISNUMBER(SEARCH("ITOT-SWHELCHP",[2]OUT_FinalEnergyCons!$A$4:$A$10000)))*1,[2]OUT_FinalEnergyCons!J$4:J$10000)</f>
        <v>0.48151184313165885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1"/>
        <v>GWth/yr.</v>
      </c>
      <c r="F1866" s="18">
        <f>SUM(F1867:F1868)</f>
        <v>0.47769381354993656</v>
      </c>
      <c r="G1866" s="18">
        <f t="shared" ref="G1866:K1866" si="1994">SUM(G1867:G1868)</f>
        <v>0.4777852081453402</v>
      </c>
      <c r="H1866" s="18">
        <f t="shared" si="1994"/>
        <v>0.3767885363718454</v>
      </c>
      <c r="I1866" s="18">
        <f t="shared" si="1994"/>
        <v>0.3760519046760879</v>
      </c>
      <c r="J1866" s="18">
        <f t="shared" si="1994"/>
        <v>0.24097629349047961</v>
      </c>
      <c r="K1866" s="18">
        <f t="shared" si="1994"/>
        <v>0.21514654978666065</v>
      </c>
      <c r="L1866" s="18">
        <f t="shared" ref="L1866" si="1995">SUM(L1867:L1868)</f>
        <v>6.7816684885424111E-2</v>
      </c>
      <c r="N1866" s="1"/>
    </row>
    <row r="1867" spans="2:14" x14ac:dyDescent="0.35">
      <c r="B1867" s="5" t="str">
        <f t="shared" ref="B1867:B1884" si="1996">B1866</f>
        <v>SPS1</v>
      </c>
      <c r="C1867" s="5" t="str">
        <f t="shared" ref="C1867:C1884" si="1997">C1866</f>
        <v>CH</v>
      </c>
      <c r="D1867" t="s">
        <v>2097</v>
      </c>
      <c r="E1867" t="str">
        <f t="shared" si="1901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0.24096934799176084</v>
      </c>
      <c r="K1867" s="1" cm="1">
        <f t="array" ref="K1867">SUMPRODUCT(([2]OUT_FinalEnergyCons!$B$4:$B$10000="Var_cap")*1,  (ISNUMBER(SEARCH("ITOT-SWHLFOBR",[2]OUT_FinalEnergyCons!$A$4:$A$10000)))*1,[2]OUT_FinalEnergyCons!I$4:I$10000)</f>
        <v>0.21512135504201574</v>
      </c>
      <c r="L1867" s="1" cm="1">
        <f t="array" ref="L1867">SUMPRODUCT(([2]OUT_FinalEnergyCons!$B$4:$B$10000="Var_cap")*1,  (ISNUMBER(SEARCH("ITOT-SWHLFOBR",[2]OUT_FinalEnergyCons!$A$4:$A$10000)))*1,[2]OUT_FinalEnergyCons!J$4:J$10000)</f>
        <v>6.7816684885424111E-2</v>
      </c>
      <c r="N1867" s="1"/>
    </row>
    <row r="1868" spans="2:14" x14ac:dyDescent="0.35">
      <c r="B1868" s="5" t="str">
        <f t="shared" si="1996"/>
        <v>SPS1</v>
      </c>
      <c r="C1868" s="5" t="str">
        <f t="shared" si="1997"/>
        <v>CH</v>
      </c>
      <c r="D1868" t="s">
        <v>2098</v>
      </c>
      <c r="E1868" t="str">
        <f t="shared" si="1901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6.9454987187619888E-6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2.5194744644897267E-5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6"/>
        <v>SPS1</v>
      </c>
      <c r="C1869" s="5" t="str">
        <f t="shared" si="1997"/>
        <v>CH</v>
      </c>
      <c r="D1869" t="s">
        <v>2099</v>
      </c>
      <c r="E1869" t="str">
        <f t="shared" si="1901"/>
        <v>GWth/yr.</v>
      </c>
      <c r="F1869" s="18">
        <f>SUM(F1870:F1871)</f>
        <v>1.556581895256</v>
      </c>
      <c r="G1869" s="18">
        <f t="shared" ref="G1869:K1869" si="1998">SUM(G1870:G1871)</f>
        <v>1.5575594477451122</v>
      </c>
      <c r="H1869" s="18">
        <f t="shared" si="1998"/>
        <v>1.5575560674629743</v>
      </c>
      <c r="I1869" s="18">
        <f t="shared" si="1998"/>
        <v>1.2352795153344165</v>
      </c>
      <c r="J1869" s="18">
        <f t="shared" si="1998"/>
        <v>0.62989962762444818</v>
      </c>
      <c r="K1869" s="18">
        <f t="shared" si="1998"/>
        <v>0.3355410211760021</v>
      </c>
      <c r="L1869" s="18">
        <f t="shared" ref="L1869" si="1999">SUM(L1870:L1871)</f>
        <v>0.10095274526926129</v>
      </c>
      <c r="N1869" s="1"/>
    </row>
    <row r="1870" spans="2:14" x14ac:dyDescent="0.35">
      <c r="B1870" s="5" t="str">
        <f t="shared" si="1996"/>
        <v>SPS1</v>
      </c>
      <c r="C1870" s="5" t="str">
        <f t="shared" si="1997"/>
        <v>CH</v>
      </c>
      <c r="D1870" t="s">
        <v>2100</v>
      </c>
      <c r="E1870" t="str">
        <f t="shared" si="1901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0.62984130205570166</v>
      </c>
      <c r="K1870" s="1" cm="1">
        <f t="array" ref="K1870">SUMPRODUCT(([2]OUT_FinalEnergyCons!$B$4:$B$10000="Var_cap")*1,  (ISNUMBER(SEARCH("ITOT-SWHNGA*BR",[2]OUT_FinalEnergyCons!$A$4:$A$10000)))*1,[2]OUT_FinalEnergyCons!I$4:I$10000)</f>
        <v>0.33552389241735869</v>
      </c>
      <c r="L1870" s="1" cm="1">
        <f t="array" ref="L1870">SUMPRODUCT(([2]OUT_FinalEnergyCons!$B$4:$B$10000="Var_cap")*1,  (ISNUMBER(SEARCH("ITOT-SWHNGA*BR",[2]OUT_FinalEnergyCons!$A$4:$A$10000)))*1,[2]OUT_FinalEnergyCons!J$4:J$10000)</f>
        <v>0.10092076640446929</v>
      </c>
      <c r="N1870" s="1"/>
    </row>
    <row r="1871" spans="2:14" x14ac:dyDescent="0.35">
      <c r="B1871" s="5" t="str">
        <f t="shared" si="1996"/>
        <v>SPS1</v>
      </c>
      <c r="C1871" s="5" t="str">
        <f t="shared" si="1997"/>
        <v>CH</v>
      </c>
      <c r="D1871" t="s">
        <v>2101</v>
      </c>
      <c r="E1871" t="str">
        <f t="shared" si="1901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5.8325568746570708E-5</v>
      </c>
      <c r="K1871" s="1" cm="1">
        <f t="array" ref="K1871">SUMPRODUCT(([2]OUT_FinalEnergyCons!$B$4:$B$10000="Var_cap")*1,  (ISNUMBER(SEARCH("ITOT-SWHNGAHP",[2]OUT_FinalEnergyCons!$A$4:$A$10000)))*1,[2]OUT_FinalEnergyCons!I$4:I$10000)</f>
        <v>1.7128758643416042E-5</v>
      </c>
      <c r="L1871" s="1" cm="1">
        <f t="array" ref="L1871">SUMPRODUCT(([2]OUT_FinalEnergyCons!$B$4:$B$10000="Var_cap")*1,  (ISNUMBER(SEARCH("ITOT-SWHNGAHP",[2]OUT_FinalEnergyCons!$A$4:$A$10000)))*1,[2]OUT_FinalEnergyCons!J$4:J$10000)</f>
        <v>3.1978864791999443E-5</v>
      </c>
      <c r="N1871" s="1"/>
    </row>
    <row r="1872" spans="2:14" x14ac:dyDescent="0.35">
      <c r="B1872" s="5" t="str">
        <f t="shared" si="1996"/>
        <v>SPS1</v>
      </c>
      <c r="C1872" s="5" t="str">
        <f t="shared" si="1997"/>
        <v>CH</v>
      </c>
      <c r="D1872" t="s">
        <v>2102</v>
      </c>
      <c r="E1872" t="str">
        <f t="shared" si="1901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0.37489094670402923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0.44067363851460944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0.50535089583903559</v>
      </c>
      <c r="N1872" s="1"/>
    </row>
    <row r="1873" spans="2:14" x14ac:dyDescent="0.35">
      <c r="B1873" s="5" t="str">
        <f t="shared" si="1996"/>
        <v>SPS1</v>
      </c>
      <c r="C1873" s="5" t="str">
        <f t="shared" si="1997"/>
        <v>CH</v>
      </c>
      <c r="D1873" t="s">
        <v>2103</v>
      </c>
      <c r="E1873" t="str">
        <f t="shared" si="1901"/>
        <v>GWth/yr.</v>
      </c>
      <c r="F1873" s="1">
        <f>F1874</f>
        <v>0.26172155007150499</v>
      </c>
      <c r="G1873" s="1">
        <f t="shared" ref="G1873:L1873" si="2000">G1874</f>
        <v>0.16193535068362203</v>
      </c>
      <c r="H1873" s="1">
        <f t="shared" si="2000"/>
        <v>1.8400449536127295E-3</v>
      </c>
      <c r="I1873" s="1">
        <f t="shared" si="2000"/>
        <v>3.7412282107351924E-5</v>
      </c>
      <c r="J1873" s="1">
        <f t="shared" si="2000"/>
        <v>4.8583489098835697E-6</v>
      </c>
      <c r="K1873" s="1">
        <f t="shared" si="2000"/>
        <v>1.6016362613958653E-5</v>
      </c>
      <c r="L1873" s="1">
        <f t="shared" si="2000"/>
        <v>4.0497489539491398E-6</v>
      </c>
      <c r="N1873" s="1"/>
    </row>
    <row r="1874" spans="2:14" x14ac:dyDescent="0.35">
      <c r="B1874" s="5" t="str">
        <f t="shared" si="1996"/>
        <v>SPS1</v>
      </c>
      <c r="C1874" s="5" t="str">
        <f t="shared" si="1997"/>
        <v>CH</v>
      </c>
      <c r="D1874" t="s">
        <v>2104</v>
      </c>
      <c r="E1874" t="str">
        <f t="shared" si="1901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4.8583489098835697E-6</v>
      </c>
      <c r="K1874" s="1" cm="1">
        <f t="array" ref="K1874">SUMPRODUCT(([2]OUT_FinalEnergyCons!$B$4:$B$10000="Var_cap")*1,  (ISNUMBER(SEARCH("ITOT-SWHCOA*BR",[2]OUT_FinalEnergyCons!$A$4:$A$10000)))*1,[2]OUT_FinalEnergyCons!I$4:I$10000)</f>
        <v>1.6016362613958653E-5</v>
      </c>
      <c r="L1874" s="1" cm="1">
        <f t="array" ref="L1874">SUMPRODUCT(([2]OUT_FinalEnergyCons!$B$4:$B$10000="Var_cap")*1,  (ISNUMBER(SEARCH("ITOT-SWHCOA*BR",[2]OUT_FinalEnergyCons!$A$4:$A$10000)))*1,[2]OUT_FinalEnergyCons!J$4:J$10000)</f>
        <v>4.0497489539491398E-6</v>
      </c>
      <c r="N1874" s="1"/>
    </row>
    <row r="1875" spans="2:14" x14ac:dyDescent="0.35">
      <c r="B1875" s="5" t="str">
        <f t="shared" si="1996"/>
        <v>SPS1</v>
      </c>
      <c r="C1875" s="5" t="str">
        <f t="shared" si="1997"/>
        <v>CH</v>
      </c>
      <c r="D1875" t="s">
        <v>2105</v>
      </c>
      <c r="E1875" t="str">
        <f t="shared" si="1901"/>
        <v>GWth/yr.</v>
      </c>
      <c r="F1875" s="1">
        <f>F1876</f>
        <v>0.28883369534761499</v>
      </c>
      <c r="G1875" s="1">
        <f t="shared" ref="G1875:L1875" si="2001">G1876</f>
        <v>0.34113821555474549</v>
      </c>
      <c r="H1875" s="1">
        <f t="shared" si="2001"/>
        <v>0.34034076025461885</v>
      </c>
      <c r="I1875" s="1">
        <f t="shared" si="2001"/>
        <v>0.3401170754384073</v>
      </c>
      <c r="J1875" s="1">
        <f t="shared" si="2001"/>
        <v>0.21416574965384635</v>
      </c>
      <c r="K1875" s="1">
        <f t="shared" si="2001"/>
        <v>0.19307969252774279</v>
      </c>
      <c r="L1875" s="1">
        <f t="shared" si="2001"/>
        <v>0.36398334804057542</v>
      </c>
      <c r="N1875" s="1"/>
    </row>
    <row r="1876" spans="2:14" x14ac:dyDescent="0.35">
      <c r="B1876" s="5" t="str">
        <f t="shared" si="1996"/>
        <v>SPS1</v>
      </c>
      <c r="C1876" s="5" t="str">
        <f t="shared" si="1997"/>
        <v>CH</v>
      </c>
      <c r="D1876" t="s">
        <v>2106</v>
      </c>
      <c r="E1876" t="str">
        <f t="shared" si="1901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0.21416574965384635</v>
      </c>
      <c r="K1876" s="1" cm="1">
        <f t="array" ref="K1876">SUMPRODUCT(([2]OUT_FinalEnergyCons!$B$4:$B$10000="Var_cap")*1,  (ISNUMBER(SEARCH("ITOT-SWHWOD*BR",[2]OUT_FinalEnergyCons!$A$4:$A$10000)))*1,[2]OUT_FinalEnergyCons!I$4:I$10000)</f>
        <v>0.19307969252774279</v>
      </c>
      <c r="L1876" s="1" cm="1">
        <f t="array" ref="L1876">SUMPRODUCT(([2]OUT_FinalEnergyCons!$B$4:$B$10000="Var_cap")*1,  (ISNUMBER(SEARCH("ITOT-SWHWOD*BR",[2]OUT_FinalEnergyCons!$A$4:$A$10000)))*1,[2]OUT_FinalEnergyCons!J$4:J$10000)</f>
        <v>0.36398334804057542</v>
      </c>
      <c r="N1876" s="1"/>
    </row>
    <row r="1877" spans="2:14" x14ac:dyDescent="0.35">
      <c r="B1877" s="5" t="str">
        <f t="shared" si="1996"/>
        <v>SPS1</v>
      </c>
      <c r="C1877" s="5" t="str">
        <f t="shared" si="1997"/>
        <v>CH</v>
      </c>
      <c r="D1877" t="s">
        <v>2107</v>
      </c>
      <c r="E1877" t="str">
        <f t="shared" si="1901"/>
        <v>GWth/yr.</v>
      </c>
      <c r="F1877" s="1">
        <f>F1878</f>
        <v>2.9860759506449799E-2</v>
      </c>
      <c r="G1877" s="1">
        <f t="shared" ref="G1877:L1877" si="2002">G1878</f>
        <v>3.7954371458900404E-2</v>
      </c>
      <c r="H1877" s="1">
        <f t="shared" si="2002"/>
        <v>0.17260321177797844</v>
      </c>
      <c r="I1877" s="1">
        <f t="shared" si="2002"/>
        <v>0.17313806013668484</v>
      </c>
      <c r="J1877" s="1">
        <f t="shared" si="2002"/>
        <v>0.21858746974183976</v>
      </c>
      <c r="K1877" s="1">
        <f t="shared" si="2002"/>
        <v>0.21745186684798498</v>
      </c>
      <c r="L1877" s="1">
        <f t="shared" si="2002"/>
        <v>0.21158487475291232</v>
      </c>
      <c r="N1877" s="1"/>
    </row>
    <row r="1878" spans="2:14" x14ac:dyDescent="0.35">
      <c r="B1878" s="5" t="str">
        <f t="shared" si="1996"/>
        <v>SPS1</v>
      </c>
      <c r="C1878" s="5" t="str">
        <f t="shared" si="1997"/>
        <v>CH</v>
      </c>
      <c r="D1878" t="s">
        <v>2108</v>
      </c>
      <c r="E1878" t="str">
        <f t="shared" si="1901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0.21858746974183976</v>
      </c>
      <c r="K1878" s="1" cm="1">
        <f t="array" ref="K1878">SUMPRODUCT(([2]OUT_FinalEnergyCons!$B$4:$B$10000="Var_cap")*1,  (ISNUMBER(SEARCH("ITOT-SWHPLT*BR",[2]OUT_FinalEnergyCons!$A$4:$A$10000)))*1,[2]OUT_FinalEnergyCons!I$4:I$10000)</f>
        <v>0.21745186684798498</v>
      </c>
      <c r="L1878" s="1" cm="1">
        <f t="array" ref="L1878">SUMPRODUCT(([2]OUT_FinalEnergyCons!$B$4:$B$10000="Var_cap")*1,  (ISNUMBER(SEARCH("ITOT-SWHPLT*BR",[2]OUT_FinalEnergyCons!$A$4:$A$10000)))*1,[2]OUT_FinalEnergyCons!J$4:J$10000)</f>
        <v>0.21158487475291232</v>
      </c>
      <c r="N1878" s="1"/>
    </row>
    <row r="1879" spans="2:14" x14ac:dyDescent="0.35">
      <c r="B1879" s="5" t="str">
        <f t="shared" si="1996"/>
        <v>SPS1</v>
      </c>
      <c r="C1879" s="5" t="str">
        <f t="shared" si="1997"/>
        <v>CH</v>
      </c>
      <c r="D1879" t="s">
        <v>2109</v>
      </c>
      <c r="E1879" t="str">
        <f t="shared" si="1901"/>
        <v>GWth/yr.</v>
      </c>
      <c r="F1879" s="1">
        <f>F1880</f>
        <v>0.35954682816669398</v>
      </c>
      <c r="G1879" s="1">
        <f t="shared" ref="G1879:L1879" si="2003">G1880</f>
        <v>0.35952879897208406</v>
      </c>
      <c r="H1879" s="1">
        <f t="shared" si="2003"/>
        <v>0.35951477695129197</v>
      </c>
      <c r="I1879" s="1">
        <f t="shared" si="2003"/>
        <v>0.35946702521637769</v>
      </c>
      <c r="J1879" s="1">
        <f t="shared" si="2003"/>
        <v>0.33598524709365385</v>
      </c>
      <c r="K1879" s="1">
        <f t="shared" si="2003"/>
        <v>0.33284480716911602</v>
      </c>
      <c r="L1879" s="1">
        <f t="shared" si="2003"/>
        <v>0.18488814820887528</v>
      </c>
      <c r="N1879" s="1"/>
    </row>
    <row r="1880" spans="2:14" x14ac:dyDescent="0.35">
      <c r="B1880" s="5" t="str">
        <f t="shared" si="1996"/>
        <v>SPS1</v>
      </c>
      <c r="C1880" s="5" t="str">
        <f t="shared" si="1997"/>
        <v>CH</v>
      </c>
      <c r="D1880" t="s">
        <v>2110</v>
      </c>
      <c r="E1880" t="str">
        <f t="shared" si="1901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0.33598524709365385</v>
      </c>
      <c r="K1880" s="1" cm="1">
        <f t="array" ref="K1880">SUMPRODUCT(([2]OUT_FinalEnergyCons!$B$4:$B$10000="Var_cap")*1,  (ISNUMBER(SEARCH("ITOT-SWHWST*BR",[2]OUT_FinalEnergyCons!$A$4:$A$10000)))*1,[2]OUT_FinalEnergyCons!I$4:I$10000)</f>
        <v>0.33284480716911602</v>
      </c>
      <c r="L1880" s="1" cm="1">
        <f t="array" ref="L1880">SUMPRODUCT(([2]OUT_FinalEnergyCons!$B$4:$B$10000="Var_cap")*1,  (ISNUMBER(SEARCH("ITOT-SWHWST*BR",[2]OUT_FinalEnergyCons!$A$4:$A$10000)))*1,[2]OUT_FinalEnergyCons!J$4:J$10000)</f>
        <v>0.18488814820887528</v>
      </c>
      <c r="N1880" s="1"/>
    </row>
    <row r="1881" spans="2:14" x14ac:dyDescent="0.35">
      <c r="B1881" s="5" t="str">
        <f t="shared" si="1996"/>
        <v>SPS1</v>
      </c>
      <c r="C1881" s="5" t="str">
        <f t="shared" si="1997"/>
        <v>CH</v>
      </c>
      <c r="D1881" t="s">
        <v>2111</v>
      </c>
      <c r="E1881" t="str">
        <f t="shared" si="1901"/>
        <v>GWth/yr.</v>
      </c>
      <c r="F1881" s="1">
        <f>F1882</f>
        <v>9.8214799778629808E-3</v>
      </c>
      <c r="G1881" s="1">
        <f t="shared" ref="G1881:L1881" si="2004">G1882</f>
        <v>1.25908617091527E-2</v>
      </c>
      <c r="H1881" s="1">
        <f t="shared" si="2004"/>
        <v>1.2590980431023371E-2</v>
      </c>
      <c r="I1881" s="1">
        <f t="shared" si="2004"/>
        <v>1.2591085377030981E-2</v>
      </c>
      <c r="J1881" s="1">
        <f t="shared" si="2004"/>
        <v>1.2418404840223721E-2</v>
      </c>
      <c r="K1881" s="1">
        <f t="shared" si="2004"/>
        <v>1.2418398613896001E-2</v>
      </c>
      <c r="L1881" s="1">
        <f t="shared" si="2004"/>
        <v>1.24183874716534E-2</v>
      </c>
      <c r="N1881" s="1"/>
    </row>
    <row r="1882" spans="2:14" x14ac:dyDescent="0.35">
      <c r="B1882" s="5" t="str">
        <f t="shared" si="1996"/>
        <v>SPS1</v>
      </c>
      <c r="C1882" s="5" t="str">
        <f t="shared" si="1997"/>
        <v>CH</v>
      </c>
      <c r="D1882" t="s">
        <v>2112</v>
      </c>
      <c r="E1882" t="str">
        <f t="shared" si="1901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1.2418404840223721E-2</v>
      </c>
      <c r="K1882" s="1" cm="1">
        <f t="array" ref="K1882">SUMPRODUCT(([2]OUT_FinalEnergyCons!$B$4:$B$10000="Var_cap")*1, (ISNUMBER(SEARCH("ITOT-SWHSOLBR",[2]OUT_FinalEnergyCons!$A$4:$A$10000)))*1,[2]OUT_FinalEnergyCons!I$4:I$10000)</f>
        <v>1.2418398613896001E-2</v>
      </c>
      <c r="L1882" s="1" cm="1">
        <f t="array" ref="L1882">SUMPRODUCT(([2]OUT_FinalEnergyCons!$B$4:$B$10000="Var_cap")*1, (ISNUMBER(SEARCH("ITOT-SWHSOLBR",[2]OUT_FinalEnergyCons!$A$4:$A$10000)))*1,[2]OUT_FinalEnergyCons!J$4:J$10000)</f>
        <v>1.24183874716534E-2</v>
      </c>
      <c r="N1882" s="1"/>
    </row>
    <row r="1883" spans="2:14" x14ac:dyDescent="0.35">
      <c r="B1883" s="5" t="str">
        <f t="shared" si="1996"/>
        <v>SPS1</v>
      </c>
      <c r="C1883" s="5" t="str">
        <f t="shared" si="1997"/>
        <v>CH</v>
      </c>
      <c r="D1883" t="s">
        <v>2113</v>
      </c>
      <c r="E1883" t="str">
        <f t="shared" si="1901"/>
        <v>GWth/yr.</v>
      </c>
      <c r="F1883" s="1">
        <f>F1884</f>
        <v>0</v>
      </c>
      <c r="G1883" s="1">
        <f t="shared" ref="G1883:L1883" si="2005">G1884</f>
        <v>0</v>
      </c>
      <c r="H1883" s="1">
        <f t="shared" si="2005"/>
        <v>0</v>
      </c>
      <c r="I1883" s="1">
        <f t="shared" si="2005"/>
        <v>1.5893065445628501E-3</v>
      </c>
      <c r="J1883" s="1">
        <f t="shared" si="2005"/>
        <v>0.58239526757710181</v>
      </c>
      <c r="K1883" s="1">
        <f t="shared" si="2005"/>
        <v>0.63468804615490748</v>
      </c>
      <c r="L1883" s="1">
        <f t="shared" si="2005"/>
        <v>0.64129743510086157</v>
      </c>
      <c r="N1883" s="1"/>
    </row>
    <row r="1884" spans="2:14" x14ac:dyDescent="0.35">
      <c r="B1884" s="5" t="str">
        <f t="shared" si="1996"/>
        <v>SPS1</v>
      </c>
      <c r="C1884" s="5" t="str">
        <f t="shared" si="1997"/>
        <v>CH</v>
      </c>
      <c r="D1884" t="s">
        <v>2114</v>
      </c>
      <c r="E1884" t="str">
        <f t="shared" si="1901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0.58239526757710181</v>
      </c>
      <c r="K1884" s="1" cm="1">
        <f t="array" ref="K1884">SUMPRODUCT(([2]OUT_FinalEnergyCons!$B$4:$B$10000="Var_cap")*1, (ISNUMBER(SEARCH("ITOT-SWHH2BR",[2]OUT_FinalEnergyCons!$A$4:$A$10000)))*1,[2]OUT_FinalEnergyCons!I$4:I$10000)</f>
        <v>0.63468804615490748</v>
      </c>
      <c r="L1884" s="1" cm="1">
        <f t="array" ref="L1884">SUMPRODUCT(([2]OUT_FinalEnergyCons!$B$4:$B$10000="Var_cap")*1, (ISNUMBER(SEARCH("ITOT-SWHH2BR",[2]OUT_FinalEnergyCons!$A$4:$A$10000)))*1,[2]OUT_FinalEnergyCons!J$4:J$10000)</f>
        <v>0.64129743510086157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1"/>
        <v>GWth/yr.</v>
      </c>
      <c r="F1885" s="17">
        <f>SUM(F1886,F1889,F1891,F1895,F1897,F1899,F1901)</f>
        <v>6.1442339507578501</v>
      </c>
      <c r="G1885" s="17">
        <f t="shared" ref="G1885:K1885" si="2006">SUM(G1886,G1889,G1891,G1895,G1897,G1899,G1901)</f>
        <v>6.0482227778321089</v>
      </c>
      <c r="H1885" s="17">
        <f t="shared" si="2006"/>
        <v>5.2403780579536869</v>
      </c>
      <c r="I1885" s="17">
        <f t="shared" si="2006"/>
        <v>5.9817969481394266</v>
      </c>
      <c r="J1885" s="17">
        <f t="shared" si="2006"/>
        <v>3.9435189313392049</v>
      </c>
      <c r="K1885" s="17">
        <f t="shared" si="2006"/>
        <v>4.1582071609656515</v>
      </c>
      <c r="L1885" s="17">
        <f t="shared" ref="L1885" si="2007">SUM(L1886,L1889,L1891,L1895,L1897,L1899,L1901)</f>
        <v>4.0293621386889251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1"/>
        <v>GWth/yr.</v>
      </c>
      <c r="F1886" s="1">
        <f>SUM(F1887:F1888)</f>
        <v>0.6156074953534556</v>
      </c>
      <c r="G1886" s="1">
        <f t="shared" ref="G1886:K1886" si="2008">SUM(G1887:G1888)</f>
        <v>0.50395469680722771</v>
      </c>
      <c r="H1886" s="1">
        <f t="shared" si="2008"/>
        <v>0.50115752948312398</v>
      </c>
      <c r="I1886" s="1">
        <f t="shared" si="2008"/>
        <v>1.1375121005124704</v>
      </c>
      <c r="J1886" s="1">
        <f t="shared" si="2008"/>
        <v>1.4508348969881339</v>
      </c>
      <c r="K1886" s="1">
        <f t="shared" si="2008"/>
        <v>1.8887332881829233</v>
      </c>
      <c r="L1886" s="1">
        <f t="shared" ref="L1886" si="2009">SUM(L1887:L1888)</f>
        <v>2.0594369662301206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1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2.3651964647966595E-2</v>
      </c>
      <c r="K1887" s="1" cm="1">
        <f t="array" ref="K1887">SUMPRODUCT(([2]OUT_FinalEnergyCons!$B$4:$B$10000="Var_cap")*1, (ISNUMBER(SEARCH("SCOM-SHELCBR",[2]OUT_FinalEnergyCons!$A$4:$A$10000)))*1,[2]OUT_FinalEnergyCons!I$4:I$10000)</f>
        <v>2.1089766793858385E-2</v>
      </c>
      <c r="L1887" s="1" cm="1">
        <f t="array" ref="L1887">SUMPRODUCT(([2]OUT_FinalEnergyCons!$B$4:$B$10000="Var_cap")*1, (ISNUMBER(SEARCH("SCOM-SHELCBR",[2]OUT_FinalEnergyCons!$A$4:$A$10000)))*1,[2]OUT_FinalEnergyCons!J$4:J$10000)</f>
        <v>1.6291640366181248E-2</v>
      </c>
      <c r="N1887" s="1"/>
    </row>
    <row r="1888" spans="2:14" x14ac:dyDescent="0.35">
      <c r="B1888" s="5" t="str">
        <f t="shared" ref="B1888:C1888" si="2010">B1887</f>
        <v>SPS1</v>
      </c>
      <c r="C1888" s="5" t="str">
        <f t="shared" si="2010"/>
        <v>CH</v>
      </c>
      <c r="D1888" t="s">
        <v>1903</v>
      </c>
      <c r="E1888" t="str">
        <f t="shared" si="1901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1.4271829323401672</v>
      </c>
      <c r="K1888" s="1" cm="1">
        <f t="array" ref="K1888">SUMPRODUCT(([2]OUT_FinalEnergyCons!$B$4:$B$10000="Var_cap")*1, (ISNUMBER(SEARCH("SCOM-SHELCHP",[2]OUT_FinalEnergyCons!$A$4:$A$10000)))*1,[2]OUT_FinalEnergyCons!I$4:I$10000)</f>
        <v>1.867643521389065</v>
      </c>
      <c r="L1888" s="1" cm="1">
        <f t="array" ref="L1888">SUMPRODUCT(([2]OUT_FinalEnergyCons!$B$4:$B$10000="Var_cap")*1, (ISNUMBER(SEARCH("SCOM-SHELCHP",[2]OUT_FinalEnergyCons!$A$4:$A$10000)))*1,[2]OUT_FinalEnergyCons!J$4:J$10000)</f>
        <v>2.0431453258639394</v>
      </c>
      <c r="N1888" s="1"/>
    </row>
    <row r="1889" spans="2:14" x14ac:dyDescent="0.35">
      <c r="B1889" s="5" t="str">
        <f t="shared" ref="B1889:C1889" si="2011">B1888</f>
        <v>SPS1</v>
      </c>
      <c r="C1889" s="5" t="str">
        <f t="shared" si="2011"/>
        <v>CH</v>
      </c>
      <c r="D1889" t="s">
        <v>1904</v>
      </c>
      <c r="E1889" t="str">
        <f t="shared" si="1901"/>
        <v>GWth/yr.</v>
      </c>
      <c r="F1889" s="1">
        <f>F1890</f>
        <v>1.9285747769073243</v>
      </c>
      <c r="G1889" s="1">
        <f t="shared" ref="G1889:L1889" si="2012">G1890</f>
        <v>1.8774624883231941</v>
      </c>
      <c r="H1889" s="1">
        <f t="shared" si="2012"/>
        <v>1.5371967315702579</v>
      </c>
      <c r="I1889" s="1">
        <f t="shared" si="2012"/>
        <v>1.5370811812591674</v>
      </c>
      <c r="J1889" s="1">
        <f t="shared" si="2012"/>
        <v>0.60258349890892005</v>
      </c>
      <c r="K1889" s="1">
        <f t="shared" si="2012"/>
        <v>0.22608262467635601</v>
      </c>
      <c r="L1889" s="1">
        <f t="shared" si="2012"/>
        <v>3.4269072688792597E-2</v>
      </c>
      <c r="N1889" s="1"/>
    </row>
    <row r="1890" spans="2:14" x14ac:dyDescent="0.35">
      <c r="B1890" s="5" t="str">
        <f t="shared" ref="B1890:C1890" si="2013">B1889</f>
        <v>SPS1</v>
      </c>
      <c r="C1890" s="5" t="str">
        <f t="shared" si="2013"/>
        <v>CH</v>
      </c>
      <c r="D1890" t="s">
        <v>1905</v>
      </c>
      <c r="E1890" t="str">
        <f t="shared" ref="E1890:E1902" si="2014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0.60258349890892005</v>
      </c>
      <c r="K1890" s="1" cm="1">
        <f t="array" ref="K1890">SUMPRODUCT(([2]OUT_FinalEnergyCons!$B$4:$B$10000="Var_cap")*1,(ISNUMBER(SEARCH("SCOM-SHLFOBR",[2]OUT_FinalEnergyCons!$A$4:$A$10000)))*1,[2]OUT_FinalEnergyCons!I$4:I$10000)</f>
        <v>0.22608262467635601</v>
      </c>
      <c r="L1890" s="1" cm="1">
        <f t="array" ref="L1890">SUMPRODUCT(([2]OUT_FinalEnergyCons!$B$4:$B$10000="Var_cap")*1,(ISNUMBER(SEARCH("SCOM-SHLFOBR",[2]OUT_FinalEnergyCons!$A$4:$A$10000)))*1,[2]OUT_FinalEnergyCons!J$4:J$10000)</f>
        <v>3.4269072688792597E-2</v>
      </c>
      <c r="N1890" s="1"/>
    </row>
    <row r="1891" spans="2:14" x14ac:dyDescent="0.35">
      <c r="B1891" s="5" t="str">
        <f t="shared" ref="B1891:C1891" si="2015">B1890</f>
        <v>SPS1</v>
      </c>
      <c r="C1891" s="5" t="str">
        <f t="shared" si="2015"/>
        <v>CH</v>
      </c>
      <c r="D1891" t="s">
        <v>1906</v>
      </c>
      <c r="E1891" t="str">
        <f t="shared" si="2014"/>
        <v>GWth/yr.</v>
      </c>
      <c r="F1891" s="1">
        <f>SUM(F1892:F1894)</f>
        <v>2.8800239779953856</v>
      </c>
      <c r="G1891" s="1">
        <f t="shared" ref="G1891:K1891" si="2016">SUM(G1892:G1894)</f>
        <v>2.8800150788759353</v>
      </c>
      <c r="H1891" s="1">
        <f t="shared" si="2016"/>
        <v>2.4291895754847812</v>
      </c>
      <c r="I1891" s="1">
        <f t="shared" si="2016"/>
        <v>2.5222094828109345</v>
      </c>
      <c r="J1891" s="1">
        <f t="shared" si="2016"/>
        <v>1.2159087098832735</v>
      </c>
      <c r="K1891" s="1">
        <f t="shared" si="2016"/>
        <v>1.2214740730413032</v>
      </c>
      <c r="L1891" s="1">
        <f t="shared" ref="L1891" si="2017">SUM(L1892:L1894)</f>
        <v>1.1215974676534981</v>
      </c>
      <c r="N1891" s="1"/>
    </row>
    <row r="1892" spans="2:14" x14ac:dyDescent="0.35">
      <c r="B1892" s="5" t="str">
        <f t="shared" ref="B1892:C1892" si="2018">B1891</f>
        <v>SPS1</v>
      </c>
      <c r="C1892" s="5" t="str">
        <f t="shared" si="2018"/>
        <v>CH</v>
      </c>
      <c r="D1892" t="s">
        <v>1907</v>
      </c>
      <c r="E1892" t="str">
        <f t="shared" si="2014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0.89785383664423768</v>
      </c>
      <c r="K1892" s="1" cm="1">
        <f t="array" ref="K1892">SUMPRODUCT(([2]OUT_FinalEnergyCons!$B$4:$B$10000="Var_cap")*1, (ISNUMBER(SEARCH("SCOM-SHNGABR",[2]OUT_FinalEnergyCons!$A$4:$A$10000)))*1,[2]OUT_FinalEnergyCons!I$4:I$10000)</f>
        <v>0.85415487058148754</v>
      </c>
      <c r="L1892" s="1" cm="1">
        <f t="array" ref="L1892">SUMPRODUCT(([2]OUT_FinalEnergyCons!$B$4:$B$10000="Var_cap")*1, (ISNUMBER(SEARCH("SCOM-SHNGABR",[2]OUT_FinalEnergyCons!$A$4:$A$10000)))*1,[2]OUT_FinalEnergyCons!J$4:J$10000)</f>
        <v>0.75922079890097582</v>
      </c>
      <c r="N1892" s="1"/>
    </row>
    <row r="1893" spans="2:14" x14ac:dyDescent="0.35">
      <c r="B1893" s="5" t="str">
        <f t="shared" ref="B1893:C1893" si="2019">B1892</f>
        <v>SPS1</v>
      </c>
      <c r="C1893" s="5" t="str">
        <f t="shared" si="2019"/>
        <v>CH</v>
      </c>
      <c r="D1893" t="s">
        <v>1908</v>
      </c>
      <c r="E1893" t="str">
        <f t="shared" si="2014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0.29074661347308234</v>
      </c>
      <c r="K1893" s="1" cm="1">
        <f t="array" ref="K1893">SUMPRODUCT(([2]OUT_FinalEnergyCons!$B$4:$B$10000="Var_cap")*1, (ISNUMBER(SEARCH("SCOM-SHngahp",[2]OUT_FinalEnergyCons!$A$4:$A$10000)))*1,[2]OUT_FinalEnergyCons!I$4:I$10000)</f>
        <v>0.36731513902415758</v>
      </c>
      <c r="L1893" s="1" cm="1">
        <f t="array" ref="L1893">SUMPRODUCT(([2]OUT_FinalEnergyCons!$B$4:$B$10000="Var_cap")*1, (ISNUMBER(SEARCH("SCOM-SHngahp",[2]OUT_FinalEnergyCons!$A$4:$A$10000)))*1,[2]OUT_FinalEnergyCons!J$4:J$10000)</f>
        <v>0.36237206064926636</v>
      </c>
      <c r="N1893" s="1"/>
    </row>
    <row r="1894" spans="2:14" x14ac:dyDescent="0.35">
      <c r="B1894" s="5" t="str">
        <f t="shared" ref="B1894:C1894" si="2020">B1893</f>
        <v>SPS1</v>
      </c>
      <c r="C1894" s="5" t="str">
        <f t="shared" si="2020"/>
        <v>CH</v>
      </c>
      <c r="D1894" t="s">
        <v>1909</v>
      </c>
      <c r="E1894" t="str">
        <f t="shared" si="2014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2.7308259765953601E-2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4.0634356578738856E-6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4.6081032557878512E-6</v>
      </c>
      <c r="N1894" s="1"/>
    </row>
    <row r="1895" spans="2:14" x14ac:dyDescent="0.35">
      <c r="B1895" s="5" t="str">
        <f t="shared" ref="B1895:C1895" si="2021">B1894</f>
        <v>SPS1</v>
      </c>
      <c r="C1895" s="5" t="str">
        <f t="shared" si="2021"/>
        <v>CH</v>
      </c>
      <c r="D1895" t="s">
        <v>1910</v>
      </c>
      <c r="E1895" t="str">
        <f t="shared" si="2014"/>
        <v>GWth/yr.</v>
      </c>
      <c r="F1895" s="1">
        <f>F1896</f>
        <v>0.47843419304202695</v>
      </c>
      <c r="G1895" s="1">
        <f t="shared" ref="G1895:L1895" si="2022">G1896</f>
        <v>0.51214247667996193</v>
      </c>
      <c r="H1895" s="1">
        <f t="shared" si="2022"/>
        <v>0.57739092501168021</v>
      </c>
      <c r="I1895" s="1">
        <f t="shared" si="2022"/>
        <v>0.57738024841596158</v>
      </c>
      <c r="J1895" s="1">
        <f t="shared" si="2022"/>
        <v>0.47920900170215008</v>
      </c>
      <c r="K1895" s="1">
        <f t="shared" si="2022"/>
        <v>0.44432234081687277</v>
      </c>
      <c r="L1895" s="1">
        <f t="shared" si="2022"/>
        <v>0.29679097270118965</v>
      </c>
      <c r="N1895" s="1"/>
    </row>
    <row r="1896" spans="2:14" x14ac:dyDescent="0.35">
      <c r="B1896" s="5" t="str">
        <f t="shared" ref="B1896:C1896" si="2023">B1895</f>
        <v>SPS1</v>
      </c>
      <c r="C1896" s="5" t="str">
        <f t="shared" si="2023"/>
        <v>CH</v>
      </c>
      <c r="D1896" t="s">
        <v>1911</v>
      </c>
      <c r="E1896" t="str">
        <f t="shared" si="2014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0.47920900170215008</v>
      </c>
      <c r="K1896" s="1" cm="1">
        <f t="array" ref="K1896">SUMPRODUCT(([2]OUT_FinalEnergyCons!$B$4:$B$10000="Var_cap")*1, (ISNUMBER(SEARCH("SCOM-SHWODBR",[2]OUT_FinalEnergyCons!$A$4:$A$10000)))*1,[2]OUT_FinalEnergyCons!I$4:I$10000)</f>
        <v>0.44432234081687277</v>
      </c>
      <c r="L1896" s="1" cm="1">
        <f t="array" ref="L1896">SUMPRODUCT(([2]OUT_FinalEnergyCons!$B$4:$B$10000="Var_cap")*1, (ISNUMBER(SEARCH("SCOM-SHWODBR",[2]OUT_FinalEnergyCons!$A$4:$A$10000)))*1,[2]OUT_FinalEnergyCons!J$4:J$10000)</f>
        <v>0.29679097270118965</v>
      </c>
      <c r="N1896" s="1"/>
    </row>
    <row r="1897" spans="2:14" x14ac:dyDescent="0.35">
      <c r="B1897" s="5" t="str">
        <f t="shared" ref="B1897:C1897" si="2024">B1896</f>
        <v>SPS1</v>
      </c>
      <c r="C1897" s="5" t="str">
        <f t="shared" si="2024"/>
        <v>CH</v>
      </c>
      <c r="D1897" t="s">
        <v>1912</v>
      </c>
      <c r="E1897" t="str">
        <f t="shared" si="2014"/>
        <v>GWth/yr.</v>
      </c>
      <c r="F1897" s="1">
        <f>F1898</f>
        <v>0.15051221087176395</v>
      </c>
      <c r="G1897" s="1">
        <f t="shared" ref="G1897:L1897" si="2025">G1898</f>
        <v>0.17480433790731351</v>
      </c>
      <c r="H1897" s="1">
        <f t="shared" si="2025"/>
        <v>9.5599736700358207E-2</v>
      </c>
      <c r="I1897" s="1">
        <f t="shared" si="2025"/>
        <v>9.5596358299018622E-2</v>
      </c>
      <c r="J1897" s="1">
        <f t="shared" si="2025"/>
        <v>6.8415231604751686E-2</v>
      </c>
      <c r="K1897" s="1">
        <f t="shared" si="2025"/>
        <v>7.8789384841478891E-2</v>
      </c>
      <c r="L1897" s="1">
        <f t="shared" si="2025"/>
        <v>6.7569959623766898E-2</v>
      </c>
      <c r="N1897" s="1"/>
    </row>
    <row r="1898" spans="2:14" x14ac:dyDescent="0.35">
      <c r="B1898" s="5" t="str">
        <f t="shared" ref="B1898:C1898" si="2026">B1897</f>
        <v>SPS1</v>
      </c>
      <c r="C1898" s="5" t="str">
        <f t="shared" si="2026"/>
        <v>CH</v>
      </c>
      <c r="D1898" t="s">
        <v>1913</v>
      </c>
      <c r="E1898" t="str">
        <f t="shared" si="2014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6.8415231604751686E-2</v>
      </c>
      <c r="K1898" s="1" cm="1">
        <f t="array" ref="K1898">SUMPRODUCT(([2]OUT_FinalEnergyCons!$B$4:$B$10000="Var_cap")*1,(ISNUMBER(SEARCH("SCOM-SHPLTBR",[2]OUT_FinalEnergyCons!$A$4:$A$10000)))*1,[2]OUT_FinalEnergyCons!I$4:I$10000)</f>
        <v>7.8789384841478891E-2</v>
      </c>
      <c r="L1898" s="1" cm="1">
        <f t="array" ref="L1898">SUMPRODUCT(([2]OUT_FinalEnergyCons!$B$4:$B$10000="Var_cap")*1,(ISNUMBER(SEARCH("SCOM-SHPLTBR",[2]OUT_FinalEnergyCons!$A$4:$A$10000)))*1,[2]OUT_FinalEnergyCons!J$4:J$10000)</f>
        <v>6.7569959623766898E-2</v>
      </c>
      <c r="N1898" s="1"/>
    </row>
    <row r="1899" spans="2:14" x14ac:dyDescent="0.35">
      <c r="B1899" s="5" t="str">
        <f t="shared" ref="B1899:C1899" si="2027">B1898</f>
        <v>SPS1</v>
      </c>
      <c r="C1899" s="5" t="str">
        <f t="shared" si="2027"/>
        <v>CH</v>
      </c>
      <c r="D1899" t="s">
        <v>1914</v>
      </c>
      <c r="E1899" t="str">
        <f t="shared" si="2014"/>
        <v>GWth/yr.</v>
      </c>
      <c r="F1899" s="1">
        <f>F1900</f>
        <v>9.1081296587893726E-2</v>
      </c>
      <c r="G1899" s="1">
        <f t="shared" ref="G1899:L1899" si="2028">G1900</f>
        <v>9.9843699238475705E-2</v>
      </c>
      <c r="H1899" s="1">
        <f t="shared" si="2028"/>
        <v>9.9843559703485074E-2</v>
      </c>
      <c r="I1899" s="1">
        <f t="shared" si="2028"/>
        <v>0.11201656897609218</v>
      </c>
      <c r="J1899" s="1">
        <f t="shared" si="2028"/>
        <v>0.12656655263205152</v>
      </c>
      <c r="K1899" s="1">
        <f t="shared" si="2028"/>
        <v>0.15694105057007984</v>
      </c>
      <c r="L1899" s="1">
        <f t="shared" si="2028"/>
        <v>0.19058094252003033</v>
      </c>
      <c r="N1899" s="1"/>
    </row>
    <row r="1900" spans="2:14" x14ac:dyDescent="0.35">
      <c r="B1900" s="5" t="str">
        <f t="shared" ref="B1900:C1900" si="2029">B1899</f>
        <v>SPS1</v>
      </c>
      <c r="C1900" s="5" t="str">
        <f t="shared" si="2029"/>
        <v>CH</v>
      </c>
      <c r="D1900" t="s">
        <v>1915</v>
      </c>
      <c r="E1900" t="str">
        <f t="shared" si="2014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0.12656655263205152</v>
      </c>
      <c r="K1900" s="1" cm="1">
        <f t="array" ref="K1900">SUMPRODUCT(([2]OUT_FinalEnergyCons!$B$4:$B$10000="Var_cap")*1, (ISNUMBER(SEARCH("SCOM-SHSOLBR",[2]OUT_FinalEnergyCons!$A$4:$A$10000)))*1,[2]OUT_FinalEnergyCons!I$4:I$10000)</f>
        <v>0.15694105057007984</v>
      </c>
      <c r="L1900" s="1" cm="1">
        <f t="array" ref="L1900">SUMPRODUCT(([2]OUT_FinalEnergyCons!$B$4:$B$10000="Var_cap")*1, (ISNUMBER(SEARCH("SCOM-SHSOLBR",[2]OUT_FinalEnergyCons!$A$4:$A$10000)))*1,[2]OUT_FinalEnergyCons!J$4:J$10000)</f>
        <v>0.19058094252003033</v>
      </c>
      <c r="N1900" s="1"/>
    </row>
    <row r="1901" spans="2:14" x14ac:dyDescent="0.35">
      <c r="B1901" s="5" t="str">
        <f t="shared" ref="B1901:C1901" si="2030">B1900</f>
        <v>SPS1</v>
      </c>
      <c r="C1901" s="5" t="str">
        <f t="shared" si="2030"/>
        <v>CH</v>
      </c>
      <c r="D1901" t="s">
        <v>1916</v>
      </c>
      <c r="E1901" t="str">
        <f t="shared" si="2014"/>
        <v>GWth/yr.</v>
      </c>
      <c r="F1901" s="1">
        <f>F1902</f>
        <v>0</v>
      </c>
      <c r="G1901" s="1">
        <f t="shared" ref="G1901:L1901" si="2031">G1902</f>
        <v>0</v>
      </c>
      <c r="H1901" s="1">
        <f t="shared" si="2031"/>
        <v>0</v>
      </c>
      <c r="I1901" s="1">
        <f t="shared" si="2031"/>
        <v>1.0078657820408E-6</v>
      </c>
      <c r="J1901" s="1">
        <f t="shared" si="2031"/>
        <v>1.03961992429079E-6</v>
      </c>
      <c r="K1901" s="1">
        <f t="shared" si="2031"/>
        <v>0.14186439883663865</v>
      </c>
      <c r="L1901" s="1">
        <f t="shared" si="2031"/>
        <v>0.25911675727152766</v>
      </c>
      <c r="N1901" s="1"/>
    </row>
    <row r="1902" spans="2:14" x14ac:dyDescent="0.35">
      <c r="B1902" s="5" t="str">
        <f t="shared" ref="B1902:C1902" si="2032">B1901</f>
        <v>SPS1</v>
      </c>
      <c r="C1902" s="5" t="str">
        <f t="shared" si="2032"/>
        <v>CH</v>
      </c>
      <c r="D1902" t="s">
        <v>1917</v>
      </c>
      <c r="E1902" t="str">
        <f t="shared" si="2014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1.03961992429079E-6</v>
      </c>
      <c r="K1902" s="1" cm="1">
        <f t="array" ref="K1902">SUMPRODUCT(([2]OUT_FinalEnergyCons!$B$4:$B$10000="Var_cap")*1, (ISNUMBER(SEARCH("SCOM-SHH2BR",[2]OUT_FinalEnergyCons!$A$4:$A$10000)))*1,[2]OUT_FinalEnergyCons!I$4:I$10000)</f>
        <v>0.14186439883663865</v>
      </c>
      <c r="L1902" s="1" cm="1">
        <f t="array" ref="L1902">SUMPRODUCT(([2]OUT_FinalEnergyCons!$B$4:$B$10000="Var_cap")*1, (ISNUMBER(SEARCH("SCOM-SHH2BR",[2]OUT_FinalEnergyCons!$A$4:$A$10000)))*1,[2]OUT_FinalEnergyCons!J$4:J$10000)</f>
        <v>0.25911675727152766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33">SUM(G1904:G1953)</f>
        <v>4.837135042201032</v>
      </c>
      <c r="H1903" s="3">
        <f t="shared" si="2033"/>
        <v>4.9055642188036677</v>
      </c>
      <c r="I1903" s="3">
        <f t="shared" si="2033"/>
        <v>5.2123762595476721</v>
      </c>
      <c r="J1903" s="3">
        <f t="shared" si="2033"/>
        <v>5.5750627072336325</v>
      </c>
      <c r="K1903" s="3">
        <f t="shared" si="2033"/>
        <v>5.9384884786159198</v>
      </c>
      <c r="L1903" s="3">
        <f t="shared" ref="L1903" si="2034">SUM(L1904:L1953)</f>
        <v>6.2433440418680828</v>
      </c>
      <c r="N1903" s="1"/>
    </row>
    <row r="1904" spans="2:14" x14ac:dyDescent="0.35">
      <c r="B1904" s="5" t="str">
        <f t="shared" ref="B1904:B1953" si="2035">B1903</f>
        <v>SPS1</v>
      </c>
      <c r="C1904" s="5" t="str">
        <f t="shared" ref="C1904:C1953" si="2036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5"/>
        <v>SPS1</v>
      </c>
      <c r="C1905" s="5" t="str">
        <f t="shared" si="2036"/>
        <v>CH</v>
      </c>
      <c r="D1905" t="s">
        <v>1922</v>
      </c>
      <c r="E1905" t="str">
        <f t="shared" ref="E1905:E1953" si="2037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0.30772121097050947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0.37792025115730099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0.40348346024190901</v>
      </c>
      <c r="N1905" s="1"/>
    </row>
    <row r="1906" spans="2:14" x14ac:dyDescent="0.35">
      <c r="B1906" s="5" t="str">
        <f t="shared" si="2035"/>
        <v>SPS1</v>
      </c>
      <c r="C1906" s="5" t="str">
        <f t="shared" si="2036"/>
        <v>CH</v>
      </c>
      <c r="D1906" t="s">
        <v>1923</v>
      </c>
      <c r="E1906" t="str">
        <f t="shared" si="2037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1.6727012752414492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2.0578430214968555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2.0648137871587</v>
      </c>
      <c r="N1906" s="1"/>
    </row>
    <row r="1907" spans="2:14" x14ac:dyDescent="0.35">
      <c r="B1907" s="5" t="str">
        <f t="shared" si="2035"/>
        <v>SPS1</v>
      </c>
      <c r="C1907" s="5" t="str">
        <f t="shared" si="2036"/>
        <v>CH</v>
      </c>
      <c r="D1907" t="s">
        <v>1924</v>
      </c>
      <c r="E1907" t="str">
        <f t="shared" si="2037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0.12731884150564865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0.51896224385189771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1.08544860593413</v>
      </c>
      <c r="N1907" s="1"/>
    </row>
    <row r="1908" spans="2:14" x14ac:dyDescent="0.35">
      <c r="B1908" s="5" t="str">
        <f t="shared" si="2035"/>
        <v>SPS1</v>
      </c>
      <c r="C1908" s="5" t="str">
        <f t="shared" si="2036"/>
        <v>CH</v>
      </c>
      <c r="D1908" t="s">
        <v>1925</v>
      </c>
      <c r="E1908" t="str">
        <f t="shared" si="2037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1.7829395253994524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2.0782093821363237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2.4977849658779601</v>
      </c>
      <c r="N1908" s="1"/>
    </row>
    <row r="1909" spans="2:14" x14ac:dyDescent="0.35">
      <c r="B1909" s="5" t="str">
        <f t="shared" si="2035"/>
        <v>SPS1</v>
      </c>
      <c r="C1909" s="5" t="str">
        <f t="shared" si="2036"/>
        <v>CH</v>
      </c>
      <c r="D1909" t="s">
        <v>1926</v>
      </c>
      <c r="E1909" t="str">
        <f t="shared" si="2037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3.3686209667043041E-5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1.88913967783148E-5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3.7481709872117399E-6</v>
      </c>
      <c r="N1909" s="1"/>
    </row>
    <row r="1910" spans="2:14" x14ac:dyDescent="0.35">
      <c r="B1910" s="5" t="str">
        <f t="shared" si="2035"/>
        <v>SPS1</v>
      </c>
      <c r="C1910" s="5" t="str">
        <f t="shared" si="2036"/>
        <v>CH</v>
      </c>
      <c r="D1910" t="s">
        <v>1927</v>
      </c>
      <c r="E1910" t="str">
        <f t="shared" si="2037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1.0509510291985195E-3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7.7914936624150295E-5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7.2250851520448402E-6</v>
      </c>
      <c r="N1910" s="1"/>
    </row>
    <row r="1911" spans="2:14" x14ac:dyDescent="0.35">
      <c r="B1911" s="5" t="str">
        <f t="shared" si="2035"/>
        <v>SPS1</v>
      </c>
      <c r="C1911" s="5" t="str">
        <f t="shared" si="2036"/>
        <v>CH</v>
      </c>
      <c r="D1911" t="s">
        <v>1928</v>
      </c>
      <c r="E1911" t="str">
        <f t="shared" si="2037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0.71611153377893877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0.50319862239726099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0.111460019573119</v>
      </c>
      <c r="N1911" s="1"/>
    </row>
    <row r="1912" spans="2:14" x14ac:dyDescent="0.35">
      <c r="B1912" s="5" t="str">
        <f t="shared" si="2035"/>
        <v>SPS1</v>
      </c>
      <c r="C1912" s="5" t="str">
        <f t="shared" si="2036"/>
        <v>CH</v>
      </c>
      <c r="D1912" t="s">
        <v>1929</v>
      </c>
      <c r="E1912" t="str">
        <f t="shared" si="2037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2.1406427421414246E-3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1.8820225725936599E-4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7.6635155773528592E-6</v>
      </c>
      <c r="N1912" s="1"/>
    </row>
    <row r="1913" spans="2:14" x14ac:dyDescent="0.35">
      <c r="B1913" s="5" t="str">
        <f t="shared" si="2035"/>
        <v>SPS1</v>
      </c>
      <c r="C1913" s="5" t="str">
        <f t="shared" si="2036"/>
        <v>CH</v>
      </c>
      <c r="D1913" t="s">
        <v>1930</v>
      </c>
      <c r="E1913" t="str">
        <f t="shared" si="2037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3.4884415639630081E-5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1.9561015275643192E-5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3.8399180979146602E-6</v>
      </c>
      <c r="N1913" s="1"/>
    </row>
    <row r="1914" spans="2:14" x14ac:dyDescent="0.35">
      <c r="B1914" s="5" t="str">
        <f t="shared" si="2035"/>
        <v>SPS1</v>
      </c>
      <c r="C1914" s="5" t="str">
        <f t="shared" si="2036"/>
        <v>CH</v>
      </c>
      <c r="D1914" t="s">
        <v>1931</v>
      </c>
      <c r="E1914" t="str">
        <f t="shared" si="2037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1.9706919770360167E-4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1.0661398805081801E-4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8.1400049910911501E-6</v>
      </c>
      <c r="N1914" s="1"/>
    </row>
    <row r="1915" spans="2:14" x14ac:dyDescent="0.35">
      <c r="B1915" s="5" t="str">
        <f t="shared" si="2035"/>
        <v>SPS1</v>
      </c>
      <c r="C1915" s="5" t="str">
        <f t="shared" si="2036"/>
        <v>CH</v>
      </c>
      <c r="D1915" t="s">
        <v>1932</v>
      </c>
      <c r="E1915" t="str">
        <f t="shared" si="2037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0.51109558186661208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0.357064564767687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8.0314007654638794E-2</v>
      </c>
      <c r="N1915" s="1"/>
    </row>
    <row r="1916" spans="2:14" x14ac:dyDescent="0.35">
      <c r="B1916" s="5" t="str">
        <f t="shared" si="2035"/>
        <v>SPS1</v>
      </c>
      <c r="C1916" s="5" t="str">
        <f t="shared" si="2036"/>
        <v>CH</v>
      </c>
      <c r="D1916" t="s">
        <v>1933</v>
      </c>
      <c r="E1916" t="str">
        <f t="shared" si="2037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8.8815347819743776E-3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4.34573259028168E-3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8.5033931016440805E-6</v>
      </c>
      <c r="N1916" s="1"/>
    </row>
    <row r="1917" spans="2:14" x14ac:dyDescent="0.35">
      <c r="B1917" s="5" t="str">
        <f t="shared" si="2035"/>
        <v>SPS1</v>
      </c>
      <c r="C1917" s="5" t="str">
        <f t="shared" si="2036"/>
        <v>CH</v>
      </c>
      <c r="D1917" t="s">
        <v>1934</v>
      </c>
      <c r="E1917" t="str">
        <f t="shared" si="2037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1.0231163520193998E-8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1.36764016888987E-8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1.95130336406047E-8</v>
      </c>
      <c r="N1917" s="1"/>
    </row>
    <row r="1918" spans="2:14" x14ac:dyDescent="0.35">
      <c r="B1918" s="5" t="str">
        <f t="shared" si="2035"/>
        <v>SPS1</v>
      </c>
      <c r="C1918" s="5" t="str">
        <f t="shared" si="2036"/>
        <v>CH</v>
      </c>
      <c r="D1918" t="s">
        <v>1935</v>
      </c>
      <c r="E1918" t="str">
        <f t="shared" si="2037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9.2737115901479893E-9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1.2486457404142751E-8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1.8932348640120601E-8</v>
      </c>
      <c r="N1918" s="1"/>
    </row>
    <row r="1919" spans="2:14" x14ac:dyDescent="0.35">
      <c r="B1919" s="5" t="str">
        <f t="shared" si="2035"/>
        <v>SPS1</v>
      </c>
      <c r="C1919" s="5" t="str">
        <f t="shared" si="2036"/>
        <v>CH</v>
      </c>
      <c r="D1919" t="s">
        <v>1936</v>
      </c>
      <c r="E1919" t="str">
        <f t="shared" si="2037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1.1794515875186782E-8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1.1358228049318169E-8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1.8636901714768E-8</v>
      </c>
      <c r="N1919" s="1"/>
    </row>
    <row r="1920" spans="2:14" x14ac:dyDescent="0.35">
      <c r="B1920" s="5" t="str">
        <f t="shared" si="2035"/>
        <v>SPS1</v>
      </c>
      <c r="C1920" s="5" t="str">
        <f t="shared" si="2036"/>
        <v>CH</v>
      </c>
      <c r="D1920" t="s">
        <v>1937</v>
      </c>
      <c r="E1920" t="str">
        <f t="shared" si="2037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8.8425537900190156E-9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1.1943567017515851E-8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1.8257432623480202E-8</v>
      </c>
      <c r="N1920" s="1"/>
    </row>
    <row r="1921" spans="2:14" x14ac:dyDescent="0.35">
      <c r="B1921" s="5" t="str">
        <f t="shared" si="2035"/>
        <v>SPS1</v>
      </c>
      <c r="C1921" s="5" t="str">
        <f t="shared" si="2036"/>
        <v>CH</v>
      </c>
      <c r="D1921" t="s">
        <v>1938</v>
      </c>
      <c r="E1921" t="str">
        <f t="shared" si="2037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5"/>
        <v>SPS1</v>
      </c>
      <c r="C1922" s="5" t="str">
        <f t="shared" si="2036"/>
        <v>CH</v>
      </c>
      <c r="D1922" t="s">
        <v>1939</v>
      </c>
      <c r="E1922" t="str">
        <f t="shared" si="2037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4.5555744916718049E-4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5.1931182511241324E-5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5"/>
        <v>SPS1</v>
      </c>
      <c r="C1923" s="5" t="str">
        <f t="shared" si="2036"/>
        <v>CH</v>
      </c>
      <c r="D1923" t="s">
        <v>1940</v>
      </c>
      <c r="E1923" t="str">
        <f t="shared" si="2037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5.9673345773221871E-2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7.5356415612307763E-3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5"/>
        <v>SPS1</v>
      </c>
      <c r="C1924" s="5" t="str">
        <f t="shared" si="2036"/>
        <v>CH</v>
      </c>
      <c r="D1924" t="s">
        <v>1941</v>
      </c>
      <c r="E1924" t="str">
        <f t="shared" si="2037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5.2339942168502351E-2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2.2432068989517603E-6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5"/>
        <v>SPS1</v>
      </c>
      <c r="C1925" s="5" t="str">
        <f t="shared" si="2036"/>
        <v>CH</v>
      </c>
      <c r="D1925" t="s">
        <v>1942</v>
      </c>
      <c r="E1925" t="str">
        <f t="shared" si="2037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1.9775166416984048E-3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3.2366931252609397E-6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5"/>
        <v>SPS1</v>
      </c>
      <c r="C1926" s="5" t="str">
        <f t="shared" si="2036"/>
        <v>CH</v>
      </c>
      <c r="D1926" t="s">
        <v>1943</v>
      </c>
      <c r="E1926" t="str">
        <f t="shared" si="2037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5"/>
        <v>SPS1</v>
      </c>
      <c r="C1927" s="5" t="str">
        <f t="shared" si="2036"/>
        <v>CH</v>
      </c>
      <c r="D1927" t="s">
        <v>1944</v>
      </c>
      <c r="E1927" t="str">
        <f t="shared" si="2037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5.8293286692126037E-2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7.6910283476139315E-3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5"/>
        <v>SPS1</v>
      </c>
      <c r="C1928" s="5" t="str">
        <f t="shared" si="2036"/>
        <v>CH</v>
      </c>
      <c r="D1928" t="s">
        <v>1945</v>
      </c>
      <c r="E1928" t="str">
        <f t="shared" si="2037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4.3913633000404101E-2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4.5492247341628158E-3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5"/>
        <v>SPS1</v>
      </c>
      <c r="C1929" s="5" t="str">
        <f t="shared" si="2036"/>
        <v>CH</v>
      </c>
      <c r="D1929" t="s">
        <v>1946</v>
      </c>
      <c r="E1929" t="str">
        <f t="shared" si="2037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9.47549622725306E-3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3.95196280879622E-5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5"/>
        <v>SPS1</v>
      </c>
      <c r="C1930" s="5" t="str">
        <f t="shared" si="2036"/>
        <v>CH</v>
      </c>
      <c r="D1930" t="s">
        <v>1947</v>
      </c>
      <c r="E1930" t="str">
        <f t="shared" si="2037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0.10408575903245651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1.2865887536351501E-2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5"/>
        <v>SPS1</v>
      </c>
      <c r="C1931" s="5" t="str">
        <f t="shared" si="2036"/>
        <v>CH</v>
      </c>
      <c r="D1931" t="s">
        <v>1948</v>
      </c>
      <c r="E1931" t="str">
        <f t="shared" si="2037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1.14255270438898E-5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4.0100930516714102E-6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5"/>
        <v>SPS1</v>
      </c>
      <c r="C1932" s="5" t="str">
        <f t="shared" si="2036"/>
        <v>CH</v>
      </c>
      <c r="D1932" t="s">
        <v>1949</v>
      </c>
      <c r="E1932" t="str">
        <f t="shared" si="2037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5.1177761620646998E-6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1.55654208067722E-6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5"/>
        <v>SPS1</v>
      </c>
      <c r="C1933" s="5" t="str">
        <f t="shared" si="2036"/>
        <v>CH</v>
      </c>
      <c r="D1933" t="s">
        <v>1950</v>
      </c>
      <c r="E1933" t="str">
        <f t="shared" si="2037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4.0298598369098198E-6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1.1037274179332901E-6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5"/>
        <v>SPS1</v>
      </c>
      <c r="C1934" s="5" t="str">
        <f t="shared" si="2036"/>
        <v>CH</v>
      </c>
      <c r="D1934" t="s">
        <v>1951</v>
      </c>
      <c r="E1934" t="str">
        <f t="shared" si="2037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6.4893399416518603E-6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1.9441538461846998E-6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5"/>
        <v>SPS1</v>
      </c>
      <c r="C1935" s="5" t="str">
        <f t="shared" si="2036"/>
        <v>CH</v>
      </c>
      <c r="D1935" t="s">
        <v>1952</v>
      </c>
      <c r="E1935" t="str">
        <f t="shared" si="2037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5"/>
        <v>SPS1</v>
      </c>
      <c r="C1936" s="5" t="str">
        <f t="shared" si="2036"/>
        <v>CH</v>
      </c>
      <c r="D1936" t="s">
        <v>1953</v>
      </c>
      <c r="E1936" t="str">
        <f t="shared" si="2037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8.7077405655425714E-3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7.8471451972180044E-6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5"/>
        <v>SPS1</v>
      </c>
      <c r="C1937" s="5" t="str">
        <f t="shared" si="2036"/>
        <v>CH</v>
      </c>
      <c r="D1937" t="s">
        <v>1954</v>
      </c>
      <c r="E1937" t="str">
        <f t="shared" si="2037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9.2138972895001933E-2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7.6271648793242684E-3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5"/>
        <v>SPS1</v>
      </c>
      <c r="C1938" s="5" t="str">
        <f t="shared" si="2036"/>
        <v>CH</v>
      </c>
      <c r="D1938" t="s">
        <v>1955</v>
      </c>
      <c r="E1938" t="str">
        <f t="shared" si="2037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6.1765786898737487E-4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1.8147596314761191E-6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5"/>
        <v>SPS1</v>
      </c>
      <c r="C1939" s="5" t="str">
        <f t="shared" si="2036"/>
        <v>CH</v>
      </c>
      <c r="D1939" t="s">
        <v>1956</v>
      </c>
      <c r="E1939" t="str">
        <f t="shared" si="2037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1.5385603012642308E-3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1.853867208170131E-6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5"/>
        <v>SPS1</v>
      </c>
      <c r="C1940" s="5" t="str">
        <f t="shared" si="2036"/>
        <v>CH</v>
      </c>
      <c r="D1940" t="s">
        <v>1957</v>
      </c>
      <c r="E1940" t="str">
        <f t="shared" si="2037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5"/>
        <v>SPS1</v>
      </c>
      <c r="C1941" s="5" t="str">
        <f t="shared" si="2036"/>
        <v>CH</v>
      </c>
      <c r="D1941" t="s">
        <v>1958</v>
      </c>
      <c r="E1941" t="str">
        <f t="shared" si="2037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1.9180962775562551E-5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1.87726745747446E-6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5"/>
        <v>SPS1</v>
      </c>
      <c r="C1942" s="5" t="str">
        <f t="shared" si="2036"/>
        <v>CH</v>
      </c>
      <c r="D1942" t="s">
        <v>1959</v>
      </c>
      <c r="E1942" t="str">
        <f t="shared" si="2037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1.770113734800402E-3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1.0736917836815099E-6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5"/>
        <v>SPS1</v>
      </c>
      <c r="C1943" s="5" t="str">
        <f t="shared" si="2036"/>
        <v>CH</v>
      </c>
      <c r="D1943" t="s">
        <v>1960</v>
      </c>
      <c r="E1943" t="str">
        <f t="shared" si="2037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5.6155546058912617E-3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7.88275323197941E-7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5"/>
        <v>SPS1</v>
      </c>
      <c r="C1944" s="5" t="str">
        <f t="shared" si="2036"/>
        <v>CH</v>
      </c>
      <c r="D1944" t="s">
        <v>1961</v>
      </c>
      <c r="E1944" t="str">
        <f t="shared" si="2037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3.3672921799317761E-3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6.1377803557535401E-7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5"/>
        <v>SPS1</v>
      </c>
      <c r="C1945" s="5" t="str">
        <f t="shared" si="2036"/>
        <v>CH</v>
      </c>
      <c r="D1945" t="s">
        <v>1962</v>
      </c>
      <c r="E1945" t="str">
        <f t="shared" si="2037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8.7451953688393993E-6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3.0027545633370199E-6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5"/>
        <v>SPS1</v>
      </c>
      <c r="C1946" s="5" t="str">
        <f t="shared" si="2036"/>
        <v>CH</v>
      </c>
      <c r="D1946" t="s">
        <v>1963</v>
      </c>
      <c r="E1946" t="str">
        <f t="shared" si="2037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4.1935188285949499E-6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1.28616178922473E-6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5"/>
        <v>SPS1</v>
      </c>
      <c r="C1947" s="5" t="str">
        <f t="shared" si="2036"/>
        <v>CH</v>
      </c>
      <c r="D1947" t="s">
        <v>1964</v>
      </c>
      <c r="E1947" t="str">
        <f t="shared" si="2037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3.2571662965048999E-6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9.1159146749092203E-7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5"/>
        <v>SPS1</v>
      </c>
      <c r="C1948" s="5" t="str">
        <f t="shared" si="2036"/>
        <v>CH</v>
      </c>
      <c r="D1948" t="s">
        <v>1965</v>
      </c>
      <c r="E1948" t="str">
        <f t="shared" si="2037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2.5451363232341099E-6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7.3770217147501098E-7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5"/>
        <v>SPS1</v>
      </c>
      <c r="C1949" s="5" t="str">
        <f t="shared" si="2036"/>
        <v>CH</v>
      </c>
      <c r="D1949" t="s">
        <v>1966</v>
      </c>
      <c r="E1949" t="str">
        <f t="shared" si="2037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5"/>
        <v>SPS1</v>
      </c>
      <c r="C1950" s="5" t="str">
        <f t="shared" si="2036"/>
        <v>CH</v>
      </c>
      <c r="D1950" t="s">
        <v>1967</v>
      </c>
      <c r="E1950" t="str">
        <f t="shared" si="2037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7.8533101730259194E-6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1.9093627234657981E-6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35"/>
        <v>SPS1</v>
      </c>
      <c r="C1951" s="5" t="str">
        <f t="shared" si="2036"/>
        <v>CH</v>
      </c>
      <c r="D1951" t="s">
        <v>1968</v>
      </c>
      <c r="E1951" t="str">
        <f t="shared" si="2037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1.0310471083784863E-4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1.8270280175994699E-6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35"/>
        <v>SPS1</v>
      </c>
      <c r="C1952" s="5" t="str">
        <f t="shared" si="2036"/>
        <v>CH</v>
      </c>
      <c r="D1952" t="s">
        <v>1969</v>
      </c>
      <c r="E1952" t="str">
        <f t="shared" si="2037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1.1339214164510862E-4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1.6492733343147202E-5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35"/>
        <v>SPS1</v>
      </c>
      <c r="C1953" s="5" t="str">
        <f t="shared" si="2036"/>
        <v>CH</v>
      </c>
      <c r="D1953" t="s">
        <v>1970</v>
      </c>
      <c r="E1953" t="str">
        <f t="shared" si="2037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5.7616617127252516E-4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1.1689875525218E-4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38">SUM(G1955:G1977)</f>
        <v>5.6855286587393321</v>
      </c>
      <c r="H1954" s="3">
        <f t="shared" si="2038"/>
        <v>5.8321526326854229</v>
      </c>
      <c r="I1954" s="3">
        <f t="shared" si="2038"/>
        <v>6.6981658736926901</v>
      </c>
      <c r="J1954" s="3">
        <f t="shared" si="2038"/>
        <v>7.0926349123812331</v>
      </c>
      <c r="K1954" s="3">
        <f t="shared" si="2038"/>
        <v>7.6159959768872953</v>
      </c>
      <c r="L1954" s="3">
        <f t="shared" ref="L1954" si="2039">SUM(L1955:L1977)</f>
        <v>7.9295199853297325</v>
      </c>
      <c r="N1954" s="1"/>
    </row>
    <row r="1955" spans="2:14" x14ac:dyDescent="0.35">
      <c r="B1955" s="5" t="str">
        <f t="shared" ref="B1955:B1977" si="2040">B1954</f>
        <v>SPS1</v>
      </c>
      <c r="C1955" s="5" t="str">
        <f t="shared" ref="C1955:C1977" si="2041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40"/>
        <v>SPS1</v>
      </c>
      <c r="C1956" s="5" t="str">
        <f t="shared" si="2041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2.3221493228455699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1.8178008635044298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2.2708278255252101</v>
      </c>
      <c r="N1956" s="1"/>
    </row>
    <row r="1957" spans="2:14" x14ac:dyDescent="0.35">
      <c r="B1957" s="5" t="str">
        <f t="shared" si="2040"/>
        <v>SPS1</v>
      </c>
      <c r="C1957" s="5" t="str">
        <f t="shared" si="2041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0.75343377790683663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0.87605095343326034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0.95201491347108602</v>
      </c>
      <c r="N1957" s="1"/>
    </row>
    <row r="1958" spans="2:14" x14ac:dyDescent="0.35">
      <c r="B1958" s="5" t="str">
        <f t="shared" si="2040"/>
        <v>SPS1</v>
      </c>
      <c r="C1958" s="5" t="str">
        <f t="shared" si="2041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2.0263463115545401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3.81672244041523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4.1602073746206907</v>
      </c>
      <c r="N1958" s="1"/>
    </row>
    <row r="1959" spans="2:14" x14ac:dyDescent="0.35">
      <c r="B1959" s="5" t="str">
        <f t="shared" si="2040"/>
        <v>SPS1</v>
      </c>
      <c r="C1959" s="5" t="str">
        <f t="shared" si="2041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5.2615671457002003E-5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6.03840328479935E-5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2.66897310650211E-5</v>
      </c>
      <c r="N1959" s="1"/>
    </row>
    <row r="1960" spans="2:14" x14ac:dyDescent="0.35">
      <c r="B1960" s="5" t="str">
        <f t="shared" si="2040"/>
        <v>SPS1</v>
      </c>
      <c r="C1960" s="5" t="str">
        <f t="shared" si="2041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0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0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40"/>
        <v>SPS1</v>
      </c>
      <c r="C1961" s="5" t="str">
        <f t="shared" si="2041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40"/>
        <v>SPS1</v>
      </c>
      <c r="C1962" s="5" t="str">
        <f t="shared" si="2041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40"/>
        <v>SPS1</v>
      </c>
      <c r="C1963" s="5" t="str">
        <f t="shared" si="2041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40"/>
        <v>SPS1</v>
      </c>
      <c r="C1964" s="5" t="str">
        <f t="shared" si="2041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1.0225583340697481E-7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0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0</v>
      </c>
      <c r="N1964" s="1"/>
    </row>
    <row r="1965" spans="2:14" x14ac:dyDescent="0.35">
      <c r="B1965" s="5" t="str">
        <f t="shared" si="2040"/>
        <v>SPS1</v>
      </c>
      <c r="C1965" s="5" t="str">
        <f t="shared" si="2041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4.1725463969301091E-8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0</v>
      </c>
      <c r="N1965" s="1"/>
    </row>
    <row r="1966" spans="2:14" x14ac:dyDescent="0.35">
      <c r="B1966" s="5" t="str">
        <f t="shared" si="2040"/>
        <v>SPS1</v>
      </c>
      <c r="C1966" s="5" t="str">
        <f t="shared" si="2041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40"/>
        <v>SPS1</v>
      </c>
      <c r="C1967" s="5" t="str">
        <f t="shared" si="2041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40"/>
        <v>SPS1</v>
      </c>
      <c r="C1968" s="5" t="str">
        <f t="shared" si="2041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40"/>
        <v>SPS1</v>
      </c>
      <c r="C1969" s="5" t="str">
        <f t="shared" si="2041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0.27565441728800899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1.085145605997978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0.54400284374076902</v>
      </c>
      <c r="N1969" s="1"/>
    </row>
    <row r="1970" spans="2:14" x14ac:dyDescent="0.35">
      <c r="B1970" s="5" t="str">
        <f t="shared" si="2040"/>
        <v>SPS1</v>
      </c>
      <c r="C1970" s="5" t="str">
        <f t="shared" si="2041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8.2737770426752982E-2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1.1372391181975997E-3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2.9492158154682298E-4</v>
      </c>
      <c r="N1970" s="1"/>
    </row>
    <row r="1971" spans="2:14" x14ac:dyDescent="0.35">
      <c r="B1971" s="5" t="str">
        <f t="shared" si="2040"/>
        <v>SPS1</v>
      </c>
      <c r="C1971" s="5" t="str">
        <f t="shared" si="2041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1.61645111830572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3.0431314970033102E-3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9.3548861833954791E-4</v>
      </c>
      <c r="N1971" s="1"/>
    </row>
    <row r="1972" spans="2:14" x14ac:dyDescent="0.35">
      <c r="B1972" s="5" t="str">
        <f t="shared" si="2040"/>
        <v>SPS1</v>
      </c>
      <c r="C1972" s="5" t="str">
        <f t="shared" si="2041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1.5384911982710901E-5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2.1193424483197502E-5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2.2036268154656203E-6</v>
      </c>
      <c r="N1972" s="1"/>
    </row>
    <row r="1973" spans="2:14" x14ac:dyDescent="0.35">
      <c r="B1973" s="5" t="str">
        <f t="shared" si="2040"/>
        <v>SPS1</v>
      </c>
      <c r="C1973" s="5" t="str">
        <f t="shared" si="2041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40"/>
        <v>SPS1</v>
      </c>
      <c r="C1974" s="5" t="str">
        <f t="shared" si="2041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2.8054550410257402E-3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4.1657321430483023E-4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1.3326635015875295E-4</v>
      </c>
      <c r="N1974" s="1"/>
    </row>
    <row r="1975" spans="2:14" x14ac:dyDescent="0.35">
      <c r="B1975" s="5" t="str">
        <f t="shared" si="2040"/>
        <v>SPS1</v>
      </c>
      <c r="C1975" s="5" t="str">
        <f t="shared" si="2041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4.59592046441222E-4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4.3202499957395202E-4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1.3308303265769053E-4</v>
      </c>
      <c r="N1975" s="1"/>
    </row>
    <row r="1976" spans="2:14" x14ac:dyDescent="0.35">
      <c r="B1976" s="5" t="str">
        <f t="shared" si="2040"/>
        <v>SPS1</v>
      </c>
      <c r="C1976" s="5" t="str">
        <f t="shared" si="2041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1.2515975849329499E-2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1.5144599023589899E-2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9.3925666076450948E-4</v>
      </c>
      <c r="N1976" s="1"/>
    </row>
    <row r="1977" spans="2:14" x14ac:dyDescent="0.35">
      <c r="B1977" s="5" t="str">
        <f t="shared" si="2040"/>
        <v>SPS1</v>
      </c>
      <c r="C1977" s="5" t="str">
        <f t="shared" si="2041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1.30265522704311E-5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2.09682263972343E-5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2.1183706293047802E-6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42">SUM(G1979:G2001)</f>
        <v>3.0781529526055471</v>
      </c>
      <c r="H1978" s="3">
        <f t="shared" ref="H1978" si="2043">SUM(H1979:H2001)</f>
        <v>2.8903654030156698</v>
      </c>
      <c r="I1978" s="3">
        <f t="shared" ref="I1978" si="2044">SUM(I1979:I2001)</f>
        <v>2.9275337250237956</v>
      </c>
      <c r="J1978" s="3">
        <f t="shared" ref="J1978" si="2045">SUM(J1979:J2001)</f>
        <v>2.9276767239919379</v>
      </c>
      <c r="K1978" s="3">
        <f t="shared" ref="K1978:L1978" si="2046">SUM(K1979:K2001)</f>
        <v>2.9281598008333924</v>
      </c>
      <c r="L1978" s="3">
        <f t="shared" si="2046"/>
        <v>2.8500124316699886</v>
      </c>
      <c r="N1978" s="1"/>
    </row>
    <row r="1979" spans="2:14" x14ac:dyDescent="0.35">
      <c r="B1979" s="5" t="str">
        <f t="shared" ref="B1979:B2001" si="2047">B1978</f>
        <v>SPS1</v>
      </c>
      <c r="C1979" s="5" t="str">
        <f t="shared" ref="C1979:C2001" si="2048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7"/>
        <v>SPS1</v>
      </c>
      <c r="C1980" s="5" t="str">
        <f t="shared" si="2048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1.403917653580312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1.4007192678255973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1.3684273115710801</v>
      </c>
      <c r="N1980" s="1"/>
    </row>
    <row r="1981" spans="2:14" x14ac:dyDescent="0.35">
      <c r="B1981" s="5" t="str">
        <f t="shared" si="2047"/>
        <v>SPS1</v>
      </c>
      <c r="C1981" s="5" t="str">
        <f t="shared" si="2048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0.67795234498909507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1.14654593428798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1.21589785038966</v>
      </c>
      <c r="N1981" s="1"/>
    </row>
    <row r="1982" spans="2:14" x14ac:dyDescent="0.35">
      <c r="B1982" s="5" t="str">
        <f t="shared" si="2047"/>
        <v>SPS1</v>
      </c>
      <c r="C1982" s="5" t="str">
        <f t="shared" si="2048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8.0857859429412399E-2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8.2717659988348596E-2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0.21750354095058202</v>
      </c>
      <c r="N1982" s="1"/>
    </row>
    <row r="1983" spans="2:14" x14ac:dyDescent="0.35">
      <c r="B1983" s="5" t="str">
        <f t="shared" si="2047"/>
        <v>SPS1</v>
      </c>
      <c r="C1983" s="5" t="str">
        <f t="shared" si="2048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5.1808705896033699E-5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7.7201553751972006E-5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2.6831290165460501E-5</v>
      </c>
      <c r="N1983" s="1"/>
    </row>
    <row r="1984" spans="2:14" x14ac:dyDescent="0.35">
      <c r="B1984" s="5" t="str">
        <f t="shared" si="2047"/>
        <v>SPS1</v>
      </c>
      <c r="C1984" s="5" t="str">
        <f t="shared" si="2048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7"/>
        <v>SPS1</v>
      </c>
      <c r="C1985" s="5" t="str">
        <f t="shared" si="2048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7"/>
        <v>SPS1</v>
      </c>
      <c r="C1986" s="5" t="str">
        <f t="shared" si="2048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7"/>
        <v>SPS1</v>
      </c>
      <c r="C1987" s="5" t="str">
        <f t="shared" si="2048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7"/>
        <v>SPS1</v>
      </c>
      <c r="C1988" s="5" t="str">
        <f t="shared" si="2048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6.7141149004456072E-8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</v>
      </c>
      <c r="N1988" s="1"/>
    </row>
    <row r="1989" spans="2:14" x14ac:dyDescent="0.35">
      <c r="B1989" s="5" t="str">
        <f t="shared" si="2047"/>
        <v>SPS1</v>
      </c>
      <c r="C1989" s="5" t="str">
        <f t="shared" si="2048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5.0945925519401243E-8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0</v>
      </c>
      <c r="N1989" s="1"/>
    </row>
    <row r="1990" spans="2:14" x14ac:dyDescent="0.35">
      <c r="B1990" s="5" t="str">
        <f t="shared" si="2047"/>
        <v>SPS1</v>
      </c>
      <c r="C1990" s="5" t="str">
        <f t="shared" si="2048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47"/>
        <v>SPS1</v>
      </c>
      <c r="C1991" s="5" t="str">
        <f t="shared" si="2048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47"/>
        <v>SPS1</v>
      </c>
      <c r="C1992" s="5" t="str">
        <f t="shared" si="2048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7"/>
        <v>SPS1</v>
      </c>
      <c r="C1993" s="5" t="str">
        <f t="shared" si="2048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5.6074131376240219E-3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8.9917538942550033E-3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3.9376306191033902E-3</v>
      </c>
      <c r="N1993" s="1"/>
    </row>
    <row r="1994" spans="2:14" x14ac:dyDescent="0.35">
      <c r="B1994" s="5" t="str">
        <f t="shared" si="2047"/>
        <v>SPS1</v>
      </c>
      <c r="C1994" s="5" t="str">
        <f t="shared" si="2048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0.5712550817387263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0.10334592095296599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1.0768465809347801E-3</v>
      </c>
      <c r="N1994" s="1"/>
    </row>
    <row r="1995" spans="2:14" x14ac:dyDescent="0.35">
      <c r="B1995" s="5" t="str">
        <f t="shared" si="2047"/>
        <v>SPS1</v>
      </c>
      <c r="C1995" s="5" t="str">
        <f t="shared" si="2048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0.18086314211267601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0.17883127767256801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4.2658237758221002E-2</v>
      </c>
      <c r="N1995" s="1"/>
    </row>
    <row r="1996" spans="2:14" x14ac:dyDescent="0.35">
      <c r="B1996" s="5" t="str">
        <f t="shared" si="2047"/>
        <v>SPS1</v>
      </c>
      <c r="C1996" s="5" t="str">
        <f t="shared" si="2048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1.7599053115457499E-5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2.5700890540055999E-5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2.7593442837417402E-6</v>
      </c>
      <c r="N1996" s="1"/>
    </row>
    <row r="1997" spans="2:14" x14ac:dyDescent="0.35">
      <c r="B1997" s="5" t="str">
        <f t="shared" si="2047"/>
        <v>SPS1</v>
      </c>
      <c r="C1997" s="5" t="str">
        <f t="shared" si="2048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7"/>
        <v>SPS1</v>
      </c>
      <c r="C1998" s="5" t="str">
        <f t="shared" si="2048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1.0521226412195162E-3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4.0506682320044004E-4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1.2271743351909098E-4</v>
      </c>
      <c r="N1998" s="1"/>
    </row>
    <row r="1999" spans="2:14" x14ac:dyDescent="0.35">
      <c r="B1999" s="5" t="str">
        <f t="shared" si="2047"/>
        <v>SPS1</v>
      </c>
      <c r="C1999" s="5" t="str">
        <f t="shared" si="2048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5.0415421079404903E-4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5.5974215799059902E-4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1.835888199033453E-4</v>
      </c>
      <c r="N1999" s="1"/>
    </row>
    <row r="2000" spans="2:14" x14ac:dyDescent="0.35">
      <c r="B2000" s="5" t="str">
        <f t="shared" si="2047"/>
        <v>SPS1</v>
      </c>
      <c r="C2000" s="5" t="str">
        <f t="shared" si="2048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5.58057360733829E-3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5.9168198216164097E-3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1.7269245519184963E-4</v>
      </c>
      <c r="N2000" s="1"/>
    </row>
    <row r="2001" spans="2:14" x14ac:dyDescent="0.35">
      <c r="B2001" s="5" t="str">
        <f t="shared" si="2047"/>
        <v>SPS1</v>
      </c>
      <c r="C2001" s="5" t="str">
        <f t="shared" si="2048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1.68526986542813E-5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2.3454964578332598E-5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2.42445734389952E-6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49">SUM(G2003:G2011)</f>
        <v>399.40247930000862</v>
      </c>
      <c r="H2002" s="3">
        <f t="shared" si="2049"/>
        <v>406.75678005844384</v>
      </c>
      <c r="I2002" s="3">
        <f t="shared" si="2049"/>
        <v>419.01937380899881</v>
      </c>
      <c r="J2002" s="3">
        <f t="shared" si="2049"/>
        <v>446.26867502749889</v>
      </c>
      <c r="K2002" s="3">
        <f t="shared" si="2049"/>
        <v>473.5215762072786</v>
      </c>
      <c r="L2002" s="3">
        <f t="shared" ref="L2002" si="2050">SUM(L2003:L2011)</f>
        <v>513.79380233974098</v>
      </c>
      <c r="N2002" s="1"/>
    </row>
    <row r="2003" spans="2:14" x14ac:dyDescent="0.35">
      <c r="B2003" s="5" t="str">
        <f t="shared" ref="B2003:B2011" si="2051">B2002</f>
        <v>SPS1</v>
      </c>
      <c r="C2003" s="5" t="str">
        <f t="shared" ref="C2003:C2011" si="2052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1"/>
        <v>SPS1</v>
      </c>
      <c r="C2004" s="5" t="str">
        <f t="shared" si="2052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313.99901039731196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455.66073582481198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513.79380233974098</v>
      </c>
      <c r="N2004" s="1"/>
    </row>
    <row r="2005" spans="2:14" x14ac:dyDescent="0.35">
      <c r="B2005" s="5" t="str">
        <f t="shared" si="2051"/>
        <v>SPS1</v>
      </c>
      <c r="C2005" s="5" t="str">
        <f t="shared" si="2052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1.8286739769224066E-6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0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0</v>
      </c>
      <c r="N2005" s="1"/>
    </row>
    <row r="2006" spans="2:14" x14ac:dyDescent="0.35">
      <c r="B2006" s="5" t="str">
        <f t="shared" si="2051"/>
        <v>SPS1</v>
      </c>
      <c r="C2006" s="5" t="str">
        <f t="shared" si="2052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1"/>
        <v>SPS1</v>
      </c>
      <c r="C2007" s="5" t="str">
        <f t="shared" si="2052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6.4045067374431799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1.09907721871042E-2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51"/>
        <v>SPS1</v>
      </c>
      <c r="C2008" s="5" t="str">
        <f t="shared" si="2052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1"/>
        <v>SPS1</v>
      </c>
      <c r="C2009" s="5" t="str">
        <f t="shared" si="2052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9.0592510995597987E-3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9.4945611740039398E-4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51"/>
        <v>SPS1</v>
      </c>
      <c r="C2010" s="5" t="str">
        <f t="shared" si="2052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125.78249120989199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17.835972250155901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51"/>
        <v>SPS1</v>
      </c>
      <c r="C2011" s="5" t="str">
        <f t="shared" si="2052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7.3605603078218507E-2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1.2927904006211501E-2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53">SUM(G2013:G2021)</f>
        <v>43.007433458768496</v>
      </c>
      <c r="H2012" s="3">
        <f t="shared" ref="H2012" si="2054">SUM(H2013:H2021)</f>
        <v>43.461568034013958</v>
      </c>
      <c r="I2012" s="3">
        <f t="shared" ref="I2012" si="2055">SUM(I2013:I2021)</f>
        <v>45.301751305871456</v>
      </c>
      <c r="J2012" s="3">
        <f t="shared" ref="J2012" si="2056">SUM(J2013:J2021)</f>
        <v>47.632175140097885</v>
      </c>
      <c r="K2012" s="3">
        <f t="shared" ref="K2012:L2012" si="2057">SUM(K2013:K2021)</f>
        <v>49.962499880058417</v>
      </c>
      <c r="L2012" s="3">
        <f t="shared" si="2057"/>
        <v>54.101267178596686</v>
      </c>
      <c r="N2012" s="1"/>
    </row>
    <row r="2013" spans="2:14" x14ac:dyDescent="0.35">
      <c r="B2013" s="5" t="str">
        <f t="shared" ref="B2013:B2021" si="2058">B2012</f>
        <v>SPS1</v>
      </c>
      <c r="C2013" s="5" t="str">
        <f t="shared" ref="C2013:C2021" si="2059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8"/>
        <v>SPS1</v>
      </c>
      <c r="C2014" s="5" t="str">
        <f t="shared" si="2059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8.4685777332448797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15.78706244638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51.958395118378299</v>
      </c>
      <c r="N2014" s="1"/>
    </row>
    <row r="2015" spans="2:14" x14ac:dyDescent="0.35">
      <c r="B2015" s="5" t="str">
        <f t="shared" si="2058"/>
        <v>SPS1</v>
      </c>
      <c r="C2015" s="5" t="str">
        <f t="shared" si="2059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0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0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0</v>
      </c>
      <c r="N2015" s="1"/>
    </row>
    <row r="2016" spans="2:14" x14ac:dyDescent="0.35">
      <c r="B2016" s="5" t="str">
        <f t="shared" si="2058"/>
        <v>SPS1</v>
      </c>
      <c r="C2016" s="5" t="str">
        <f t="shared" si="2059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8"/>
        <v>SPS1</v>
      </c>
      <c r="C2017" s="5" t="str">
        <f t="shared" si="2059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8"/>
        <v>SPS1</v>
      </c>
      <c r="C2018" s="5" t="str">
        <f t="shared" si="2059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8"/>
        <v>SPS1</v>
      </c>
      <c r="C2019" s="5" t="str">
        <f t="shared" si="2059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2.5318989944255404E-4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3.2747738081851302E-4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3.5714962102624596E-5</v>
      </c>
      <c r="N2019" s="1"/>
    </row>
    <row r="2020" spans="2:14" x14ac:dyDescent="0.35">
      <c r="B2020" s="5" t="str">
        <f t="shared" si="2058"/>
        <v>SPS1</v>
      </c>
      <c r="C2020" s="5" t="str">
        <f t="shared" si="2059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39.041343961269398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34.053109815592599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2.1336453106481299</v>
      </c>
      <c r="N2020" s="1"/>
    </row>
    <row r="2021" spans="2:14" x14ac:dyDescent="0.35">
      <c r="B2021" s="5" t="str">
        <f t="shared" si="2058"/>
        <v>SPS1</v>
      </c>
      <c r="C2021" s="5" t="str">
        <f t="shared" si="2059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0.12200025568416399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0.122000140704996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9.1910346081552699E-3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60">SUM(F2023,F2027,F2030)</f>
        <v>3.4586691996665701E-4</v>
      </c>
      <c r="G2022" s="3">
        <f t="shared" ref="G2022" si="2061">SUM(G2023,G2027,G2030)</f>
        <v>3.8680922479996977E-4</v>
      </c>
      <c r="H2022" s="3">
        <f t="shared" ref="H2022" si="2062">SUM(H2023,H2027,H2030)</f>
        <v>3.9406889784402013E-4</v>
      </c>
      <c r="I2022" s="3">
        <f t="shared" ref="I2022" si="2063">SUM(I2023,I2027,I2030)</f>
        <v>1.2146082324044655E-2</v>
      </c>
      <c r="J2022" s="3">
        <f t="shared" ref="J2022" si="2064">SUM(J2023,J2027,J2030)</f>
        <v>0.32545907991328921</v>
      </c>
      <c r="K2022" s="3">
        <f t="shared" ref="K2022:L2022" si="2065">SUM(K2023,K2027,K2030)</f>
        <v>1.0500213185617937</v>
      </c>
      <c r="L2022" s="3">
        <f t="shared" si="2065"/>
        <v>1.7229547723568106</v>
      </c>
      <c r="N2022" s="1"/>
    </row>
    <row r="2023" spans="2:14" x14ac:dyDescent="0.35">
      <c r="B2023" s="5" t="str">
        <f t="shared" ref="B2023:B2032" si="2066">B2022</f>
        <v>SPS1</v>
      </c>
      <c r="C2023" s="5" t="str">
        <f t="shared" ref="C2023:C2032" si="206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0.32545895219670196</v>
      </c>
      <c r="K2023" s="1" cm="1">
        <f t="array" ref="K2023">SUMPRODUCT(ISNUMBER(SEARCH("SUP_ELCH2*",[2]OUT_SyntheticFuels!$C$4:$C$1000))*1,("Var_cap"=[2]OUT_SyntheticFuels!$B$4:$B$1000)*1,[2]OUT_SyntheticFuels!J$4:J$1000)</f>
        <v>1.0500210965190531</v>
      </c>
      <c r="L2023" s="1" cm="1">
        <f t="array" ref="L2023">SUMPRODUCT(ISNUMBER(SEARCH("SUP_ELCH2*",[2]OUT_SyntheticFuels!$C$4:$C$1000))*1,("Var_cap"=[2]OUT_SyntheticFuels!$B$4:$B$1000)*1,[2]OUT_SyntheticFuels!K$4:K$1000)</f>
        <v>1.7229365992237646</v>
      </c>
      <c r="N2023" s="1"/>
    </row>
    <row r="2024" spans="2:14" x14ac:dyDescent="0.35">
      <c r="B2024" s="5" t="str">
        <f t="shared" si="2066"/>
        <v>SPS1</v>
      </c>
      <c r="C2024" s="5" t="str">
        <f t="shared" si="2067"/>
        <v>CH</v>
      </c>
      <c r="D2024" t="s">
        <v>2145</v>
      </c>
      <c r="E2024" t="s">
        <v>2154</v>
      </c>
      <c r="F2024" s="1">
        <f t="shared" ref="F2024" si="2068">F2023-F2025-F2026</f>
        <v>3.4586691996665701E-4</v>
      </c>
      <c r="G2024" s="1">
        <f t="shared" ref="G2024" si="2069">G2023-G2025-G2026</f>
        <v>3.8680922479996977E-4</v>
      </c>
      <c r="H2024" s="1">
        <f t="shared" ref="H2024" si="2070">H2023-H2025-H2026</f>
        <v>3.9406889784402013E-4</v>
      </c>
      <c r="I2024" s="1">
        <f t="shared" ref="I2024" si="2071">I2023-I2025-I2026</f>
        <v>1.2137397308549217E-2</v>
      </c>
      <c r="J2024" s="1">
        <f t="shared" ref="J2024" si="2072">J2023-J2025-J2026</f>
        <v>0.32545725475280329</v>
      </c>
      <c r="K2024" s="1">
        <f t="shared" ref="K2024:L2024" si="2073">K2023-K2025-K2026</f>
        <v>0.89268691878895667</v>
      </c>
      <c r="L2024" s="1">
        <f t="shared" si="2073"/>
        <v>1.5564903661166973</v>
      </c>
      <c r="N2024" s="1"/>
    </row>
    <row r="2025" spans="2:14" x14ac:dyDescent="0.35">
      <c r="B2025" s="5" t="str">
        <f t="shared" si="2066"/>
        <v>SPS1</v>
      </c>
      <c r="C2025" s="5" t="str">
        <f t="shared" si="206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1.6974438986471701E-6</v>
      </c>
      <c r="K2025" s="1" cm="1">
        <f t="array" ref="K2025">SUMPRODUCT(ISNUMBER(SEARCH("SUP_ELCH2*D",[2]OUT_SyntheticFuels!$C$4:$C$1000))*1,("Var_cap"=[2]OUT_SyntheticFuels!$B$4:$B$1000)*1,[2]OUT_SyntheticFuels!J$4:J$1000)</f>
        <v>0.15728540984865899</v>
      </c>
      <c r="L2025" s="1" cm="1">
        <f t="array" ref="L2025">SUMPRODUCT(ISNUMBER(SEARCH("SUP_ELCH2*D",[2]OUT_SyntheticFuels!$C$4:$C$1000))*1,("Var_cap"=[2]OUT_SyntheticFuels!$B$4:$B$1000)*1,[2]OUT_SyntheticFuels!K$4:K$1000)</f>
        <v>0.166418090886093</v>
      </c>
      <c r="N2025" s="1"/>
    </row>
    <row r="2026" spans="2:14" x14ac:dyDescent="0.35">
      <c r="B2026" s="5" t="str">
        <f t="shared" si="2066"/>
        <v>SPS1</v>
      </c>
      <c r="C2026" s="5" t="str">
        <f t="shared" si="206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4.8767881437384903E-5</v>
      </c>
      <c r="L2026" s="1" cm="1">
        <f t="array" ref="L2026">SUMPRODUCT(ISNUMBER(SEARCH("SUP_ELCH2*SOEC*",[2]OUT_SyntheticFuels!$C$4:$C$1000))*1,("Var_cap"=[2]OUT_SyntheticFuels!$B$4:$B$1000)*1,[2]OUT_SyntheticFuels!K$4:K$1000)</f>
        <v>2.8142220974255752E-5</v>
      </c>
      <c r="N2026" s="1"/>
    </row>
    <row r="2027" spans="2:14" x14ac:dyDescent="0.35">
      <c r="B2027" s="5" t="str">
        <f t="shared" si="2066"/>
        <v>SPS1</v>
      </c>
      <c r="C2027" s="5" t="str">
        <f t="shared" si="2067"/>
        <v>CH</v>
      </c>
      <c r="D2027" t="s">
        <v>2148</v>
      </c>
      <c r="E2027" t="s">
        <v>2154</v>
      </c>
      <c r="F2027" s="1">
        <f t="shared" ref="F2027" si="2074">SUM(F2028:F2029)</f>
        <v>0</v>
      </c>
      <c r="G2027" s="1">
        <f t="shared" ref="G2027" si="2075">SUM(G2028:G2029)</f>
        <v>0</v>
      </c>
      <c r="H2027" s="1">
        <f t="shared" ref="H2027" si="2076">SUM(H2028:H2029)</f>
        <v>0</v>
      </c>
      <c r="I2027" s="1">
        <f t="shared" ref="I2027" si="2077">SUM(I2028:I2029)</f>
        <v>6.0938509311960398E-7</v>
      </c>
      <c r="J2027" s="1">
        <f t="shared" ref="J2027" si="2078">SUM(J2028:J2029)</f>
        <v>1.27716587253467E-7</v>
      </c>
      <c r="K2027" s="1">
        <f t="shared" ref="K2027:L2027" si="2079">SUM(K2028:K2029)</f>
        <v>2.2204274053164127E-7</v>
      </c>
      <c r="L2027" s="1">
        <f t="shared" si="2079"/>
        <v>1.8173133045908665E-5</v>
      </c>
      <c r="N2027" s="1"/>
    </row>
    <row r="2028" spans="2:14" x14ac:dyDescent="0.35">
      <c r="B2028" s="5" t="str">
        <f t="shared" si="2066"/>
        <v>SPS1</v>
      </c>
      <c r="C2028" s="5" t="str">
        <f t="shared" si="206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1.27716587253467E-7</v>
      </c>
      <c r="K2028" s="1" cm="1">
        <f t="array" ref="K2028">SUMPRODUCT(ISNUMBER(SEARCH("SUP_NGAH2",[2]OUT_SyntheticFuels!$C$4:$C$1000))*1,("Var_cap"=[2]OUT_SyntheticFuels!$B$4:$B$1000)*1,[2]OUT_SyntheticFuels!J$4:J$1000)-K2029</f>
        <v>1.7956127686753726E-7</v>
      </c>
      <c r="L2028" s="1" cm="1">
        <f t="array" ref="L2028">SUMPRODUCT(ISNUMBER(SEARCH("SUP_NGAH2",[2]OUT_SyntheticFuels!$C$4:$C$1000))*1,("Var_cap"=[2]OUT_SyntheticFuels!$B$4:$B$1000)*1,[2]OUT_SyntheticFuels!K$4:K$1000)-L2029</f>
        <v>9.654744965091735E-6</v>
      </c>
      <c r="N2028" s="1"/>
    </row>
    <row r="2029" spans="2:14" x14ac:dyDescent="0.35">
      <c r="B2029" s="5" t="str">
        <f t="shared" si="2066"/>
        <v>SPS1</v>
      </c>
      <c r="C2029" s="5" t="str">
        <f t="shared" si="206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4.2481463664104E-8</v>
      </c>
      <c r="L2029" s="1" cm="1">
        <f t="array" ref="L2029">SUMPRODUCT(ISNUMBER(SEARCH("SUP_NGAH2CCS",[2]OUT_SyntheticFuels!$C$4:$C$1000))*1,("Var_cap"=[2]OUT_SyntheticFuels!$B$4:$B$1000)*1,[2]OUT_SyntheticFuels!K$4:K$1000)</f>
        <v>8.5183880808169298E-6</v>
      </c>
      <c r="N2029" s="1"/>
    </row>
    <row r="2030" spans="2:14" x14ac:dyDescent="0.35">
      <c r="B2030" s="5" t="str">
        <f t="shared" si="2066"/>
        <v>SPS1</v>
      </c>
      <c r="C2030" s="5" t="str">
        <f t="shared" si="2067"/>
        <v>CH</v>
      </c>
      <c r="D2030" t="s">
        <v>2151</v>
      </c>
      <c r="E2030" t="s">
        <v>2154</v>
      </c>
      <c r="F2030" s="1">
        <f t="shared" ref="F2030" si="2080">SUM(F2031:F2032)</f>
        <v>0</v>
      </c>
      <c r="G2030" s="1">
        <f t="shared" ref="G2030" si="2081">SUM(G2031:G2032)</f>
        <v>0</v>
      </c>
      <c r="H2030" s="1">
        <f t="shared" ref="H2030" si="2082">SUM(H2031:H2032)</f>
        <v>0</v>
      </c>
      <c r="I2030" s="1">
        <f t="shared" ref="I2030" si="2083">SUM(I2031:I2032)</f>
        <v>0</v>
      </c>
      <c r="J2030" s="1">
        <f t="shared" ref="J2030" si="2084">SUM(J2031:J2032)</f>
        <v>0</v>
      </c>
      <c r="K2030" s="1">
        <f t="shared" ref="K2030:L2030" si="2085">SUM(K2031:K2032)</f>
        <v>0</v>
      </c>
      <c r="L2030" s="1">
        <f t="shared" si="2085"/>
        <v>0</v>
      </c>
      <c r="N2030" s="1"/>
    </row>
    <row r="2031" spans="2:14" x14ac:dyDescent="0.35">
      <c r="B2031" s="5" t="str">
        <f t="shared" si="2066"/>
        <v>SPS1</v>
      </c>
      <c r="C2031" s="5" t="str">
        <f t="shared" si="206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6"/>
        <v>SPS1</v>
      </c>
      <c r="C2032" s="5" t="str">
        <f t="shared" si="206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6">B2033</f>
        <v>SPS1</v>
      </c>
      <c r="C2034" s="5" t="str">
        <f t="shared" ref="C2034:C2049" si="2087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2.9899601164187772E-6</v>
      </c>
      <c r="K2034" s="7" cm="1">
        <f t="array" ref="K2034">SUMPRODUCT(("CT_CWODBDS"=[2]OUT_SyntheticFuels!$C$4:$C$1000)*1,("Var_cap"=[2]OUT_SyntheticFuels!$B$4:$B$1000)*1,[2]OUT_SyntheticFuels!J$4:J$1000)</f>
        <v>2.4369342511547908E-6</v>
      </c>
      <c r="L2034" s="7" cm="1">
        <f t="array" ref="L2034">SUMPRODUCT(("CT_CWODBDS"=[2]OUT_SyntheticFuels!$C$4:$C$1000)*1,("Var_cap"=[2]OUT_SyntheticFuels!$B$4:$B$1000)*1,[2]OUT_SyntheticFuels!K$4:K$1000)</f>
        <v>2.0799780994514959E-6</v>
      </c>
      <c r="N2034" s="1"/>
    </row>
    <row r="2035" spans="2:14" x14ac:dyDescent="0.35">
      <c r="B2035" s="5" t="str">
        <f t="shared" si="2086"/>
        <v>SPS1</v>
      </c>
      <c r="C2035" s="5" t="str">
        <f t="shared" si="2087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6"/>
        <v>SPS1</v>
      </c>
      <c r="C2036" s="5" t="str">
        <f t="shared" si="2087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3.4974398851507493E-6</v>
      </c>
      <c r="K2036" s="7" cm="1">
        <f t="array" ref="K2036">SUMPRODUCT(("CT_CWODETH"=[2]OUT_SyntheticFuels!$C$4:$C$1000)*1,("Var_cap"=[2]OUT_SyntheticFuels!$B$4:$B$1000)*1,[2]OUT_SyntheticFuels!J$4:J$1000)</f>
        <v>1.9241995855502798E-6</v>
      </c>
      <c r="L2036" s="7" cm="1">
        <f t="array" ref="L2036">SUMPRODUCT(("CT_CWODETH"=[2]OUT_SyntheticFuels!$C$4:$C$1000)*1,("Var_cap"=[2]OUT_SyntheticFuels!$B$4:$B$1000)*1,[2]OUT_SyntheticFuels!K$4:K$1000)</f>
        <v>1.4475813489676693E-6</v>
      </c>
      <c r="N2036" s="1"/>
    </row>
    <row r="2037" spans="2:14" x14ac:dyDescent="0.35">
      <c r="B2037" s="5" t="str">
        <f t="shared" si="2086"/>
        <v>SPS1</v>
      </c>
      <c r="C2037" s="5" t="str">
        <f t="shared" si="2087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6"/>
        <v>SPS1</v>
      </c>
      <c r="C2038" s="5" t="str">
        <f t="shared" si="2087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0.16239880715090735</v>
      </c>
      <c r="K2038" s="7" cm="1">
        <f t="array" ref="K2038">SUMPRODUCT(("SUP_MNRBIO"=[2]OUT_SyntheticFuels!$C$4:$C$1000)*1,("Var_cap"=[2]OUT_SyntheticFuels!$B$4:$B$1000)*1,[2]OUT_SyntheticFuels!J$4:J$1000)</f>
        <v>0.18789222833451072</v>
      </c>
      <c r="L2038" s="7" cm="1">
        <f t="array" ref="L2038">SUMPRODUCT(("SUP_MNRBIO"=[2]OUT_SyntheticFuels!$C$4:$C$1000)*1,("Var_cap"=[2]OUT_SyntheticFuels!$B$4:$B$1000)*1,[2]OUT_SyntheticFuels!K$4:K$1000)</f>
        <v>0.34728175979044529</v>
      </c>
      <c r="N2038" s="1"/>
    </row>
    <row r="2039" spans="2:14" x14ac:dyDescent="0.35">
      <c r="B2039" s="5" t="str">
        <f t="shared" si="2086"/>
        <v>SPS1</v>
      </c>
      <c r="C2039" s="5" t="str">
        <f t="shared" si="2087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0.29244707956126909</v>
      </c>
      <c r="K2039" s="7" cm="1">
        <f t="array" ref="K2039">SUMPRODUCT(("SUP_WSTBIO"=[2]OUT_SyntheticFuels!$C$4:$C$1000)*1,("Var_cap"=[2]OUT_SyntheticFuels!$B$4:$B$1000)*1,[2]OUT_SyntheticFuels!J$4:J$1000)</f>
        <v>0.28100888947021396</v>
      </c>
      <c r="L2039" s="7" cm="1">
        <f t="array" ref="L2039">SUMPRODUCT(("SUP_WSTBIO"=[2]OUT_SyntheticFuels!$C$4:$C$1000)*1,("Var_cap"=[2]OUT_SyntheticFuels!$B$4:$B$1000)*1,[2]OUT_SyntheticFuels!K$4:K$1000)</f>
        <v>0.26874379320803488</v>
      </c>
      <c r="N2039" s="1"/>
    </row>
    <row r="2040" spans="2:14" x14ac:dyDescent="0.35">
      <c r="B2040" s="5" t="str">
        <f t="shared" si="2086"/>
        <v>SPS1</v>
      </c>
      <c r="C2040" s="5" t="str">
        <f t="shared" si="2087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6"/>
        <v>SPS1</v>
      </c>
      <c r="C2041" s="5" t="str">
        <f t="shared" si="2087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1.9873006242676401E-6</v>
      </c>
      <c r="L2041" s="7" cm="1">
        <f t="array" ref="L2041">SUMPRODUCT(("SUP_WSTHTGBIO"=[2]OUT_SyntheticFuels!$C$4:$C$1000)*1,("Var_cap"=[2]OUT_SyntheticFuels!$B$4:$B$1000)*1,[2]OUT_SyntheticFuels!K$4:K$1000)</f>
        <v>2.0011671980291602E-6</v>
      </c>
      <c r="N2041" s="1"/>
    </row>
    <row r="2042" spans="2:14" x14ac:dyDescent="0.35">
      <c r="B2042" s="5" t="str">
        <f t="shared" si="2086"/>
        <v>SPS1</v>
      </c>
      <c r="C2042" s="5" t="str">
        <f t="shared" si="2087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6"/>
        <v>SPS1</v>
      </c>
      <c r="C2043" s="5" t="str">
        <f t="shared" si="2087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5.162118599463684E-6</v>
      </c>
      <c r="K2043" s="7" cm="1">
        <f t="array" ref="K2043">SUMPRODUCT(("SUP_WODBIO"=[2]OUT_SyntheticFuels!$C$4:$C$1000)*1,("Var_cap"=[2]OUT_SyntheticFuels!$B$4:$B$1000)*1,[2]OUT_SyntheticFuels!J$4:J$1000)</f>
        <v>4.547313230885016E-6</v>
      </c>
      <c r="L2043" s="7" cm="1">
        <f t="array" ref="L2043">SUMPRODUCT(("SUP_WODBIO"=[2]OUT_SyntheticFuels!$C$4:$C$1000)*1,("Var_cap"=[2]OUT_SyntheticFuels!$B$4:$B$1000)*1,[2]OUT_SyntheticFuels!K$4:K$1000)</f>
        <v>3.7465326822634474E-6</v>
      </c>
      <c r="N2043" s="1"/>
    </row>
    <row r="2044" spans="2:14" x14ac:dyDescent="0.35">
      <c r="B2044" s="5" t="str">
        <f t="shared" si="2086"/>
        <v>SPS1</v>
      </c>
      <c r="C2044" s="5" t="str">
        <f t="shared" si="2087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6"/>
        <v>SPS1</v>
      </c>
      <c r="C2045" s="5" t="str">
        <f t="shared" si="2087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8.0097495870427318E-2</v>
      </c>
      <c r="K2045" s="7" cm="1">
        <f t="array" ref="K2045">SUMPRODUCT(("SUP_BIONGA"=[2]OUT_SyntheticFuels!$C$4:$C$1000)*1,("Var_cap"=[2]OUT_SyntheticFuels!$B$4:$B$1000)*1,[2]OUT_SyntheticFuels!J$4:J$1000)</f>
        <v>9.2010935530024998E-2</v>
      </c>
      <c r="L2045" s="7" cm="1">
        <f t="array" ref="L2045">SUMPRODUCT(("SUP_BIONGA"=[2]OUT_SyntheticFuels!$C$4:$C$1000)*1,("Var_cap"=[2]OUT_SyntheticFuels!$B$4:$B$1000)*1,[2]OUT_SyntheticFuels!K$4:K$1000)</f>
        <v>0.10369604367525566</v>
      </c>
      <c r="N2045" s="1"/>
    </row>
    <row r="2046" spans="2:14" x14ac:dyDescent="0.35">
      <c r="B2046" s="5" t="str">
        <f t="shared" si="2086"/>
        <v>SPS1</v>
      </c>
      <c r="C2046" s="5" t="str">
        <f t="shared" si="2087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0.29953318727258887</v>
      </c>
      <c r="K2046" s="7" cm="1">
        <f t="array" ref="K2046">SUMPRODUCT(("CT_CWODPLT"=[2]OUT_SyntheticFuels!$C$4:$C$1000)*1,("Var_cap"=[2]OUT_SyntheticFuels!$B$4:$B$1000)*1,[2]OUT_SyntheticFuels!J$4:J$1000)</f>
        <v>0.3093959395528848</v>
      </c>
      <c r="L2046" s="7" cm="1">
        <f t="array" ref="L2046">SUMPRODUCT(("CT_CWODPLT"=[2]OUT_SyntheticFuels!$C$4:$C$1000)*1,("Var_cap"=[2]OUT_SyntheticFuels!$B$4:$B$1000)*1,[2]OUT_SyntheticFuels!K$4:K$1000)</f>
        <v>0.28955115835932405</v>
      </c>
      <c r="N2046" s="1"/>
    </row>
    <row r="2047" spans="2:14" x14ac:dyDescent="0.35">
      <c r="B2047" s="5" t="str">
        <f t="shared" si="2086"/>
        <v>SPS1</v>
      </c>
      <c r="C2047" s="5" t="str">
        <f t="shared" si="2087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2.422251707611622E-7</v>
      </c>
      <c r="K2047" s="7" cm="1">
        <f t="array" ref="K2047">SUMPRODUCT(("SUP_H2NGA"=[2]OUT_SyntheticFuels!$C$4:$C$1000)*1,("Var_cap"=[2]OUT_SyntheticFuels!$B$4:$B$1000)*1,[2]OUT_SyntheticFuels!J$4:J$1000)</f>
        <v>1.6769061782066101E-5</v>
      </c>
      <c r="L2047" s="7" cm="1">
        <f t="array" ref="L2047">SUMPRODUCT(("SUP_H2NGA"=[2]OUT_SyntheticFuels!$C$4:$C$1000)*1,("Var_cap"=[2]OUT_SyntheticFuels!$B$4:$B$1000)*1,[2]OUT_SyntheticFuels!K$4:K$1000)</f>
        <v>3.5780154515143383E-5</v>
      </c>
      <c r="N2047" s="1"/>
    </row>
    <row r="2048" spans="2:14" x14ac:dyDescent="0.35">
      <c r="B2048" s="5" t="str">
        <f t="shared" si="2086"/>
        <v>SPS1</v>
      </c>
      <c r="C2048" s="5" t="str">
        <f t="shared" si="2087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3.8992298869500078E-7</v>
      </c>
      <c r="K2048" s="7" cm="1">
        <f t="array" ref="K2048">SUMPRODUCT(("SUP_H2DSL"=[2]OUT_SyntheticFuels!$C$4:$C$1000)*1,("Var_cap"=[2]OUT_SyntheticFuels!$B$4:$B$1000)*1,[2]OUT_SyntheticFuels!J$4:J$1000)</f>
        <v>6.1065271423951713E-5</v>
      </c>
      <c r="L2048" s="7" cm="1">
        <f t="array" ref="L2048">SUMPRODUCT(("SUP_H2DSL"=[2]OUT_SyntheticFuels!$C$4:$C$1000)*1,("Var_cap"=[2]OUT_SyntheticFuels!$B$4:$B$1000)*1,[2]OUT_SyntheticFuels!K$4:K$1000)</f>
        <v>1.1717688354092736E-2</v>
      </c>
      <c r="N2048" s="1"/>
    </row>
    <row r="2049" spans="2:14" x14ac:dyDescent="0.35">
      <c r="B2049" s="5" t="str">
        <f t="shared" si="2086"/>
        <v>SPS1</v>
      </c>
      <c r="C2049" s="5" t="str">
        <f t="shared" si="2087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3.5518610081757561E-7</v>
      </c>
      <c r="K2049" s="7" cm="1">
        <f t="array" ref="K2049">SUMPRODUCT(("SUP_H2GSL"=[2]OUT_SyntheticFuels!$C$4:$C$1000)*1,("Var_cap"=[2]OUT_SyntheticFuels!$B$4:$B$1000)*1,[2]OUT_SyntheticFuels!J$4:J$1000)</f>
        <v>3.4337066759338773E-5</v>
      </c>
      <c r="L2049" s="7" cm="1">
        <f t="array" ref="L2049">SUMPRODUCT(("SUP_H2GSL"=[2]OUT_SyntheticFuels!$C$4:$C$1000)*1,("Var_cap"=[2]OUT_SyntheticFuels!$B$4:$B$1000)*1,[2]OUT_SyntheticFuels!K$4:K$1000)</f>
        <v>1.0597009105132364E-2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8">SUM(F2051,F2053,F2057,F2061,F2077,F2084,F2092,F2094,F2102,F2106,F2100)</f>
        <v>5.5006913507686973E-3</v>
      </c>
      <c r="G2050" s="3">
        <f t="shared" si="2088"/>
        <v>0.10631640622705982</v>
      </c>
      <c r="H2050" s="3">
        <f t="shared" si="2088"/>
        <v>5.338190537012979</v>
      </c>
      <c r="I2050" s="3">
        <f t="shared" si="2088"/>
        <v>6.5170535056187084</v>
      </c>
      <c r="J2050" s="3">
        <f t="shared" si="2088"/>
        <v>5.6584883728170965</v>
      </c>
      <c r="K2050" s="3">
        <f t="shared" si="2088"/>
        <v>11.916435950602965</v>
      </c>
      <c r="L2050" s="3">
        <f t="shared" ref="L2050" si="2089">SUM(L2051,L2053,L2057,L2061,L2077,L2084,L2092,L2094,L2102,L2106,L2100)</f>
        <v>23.398220517312975</v>
      </c>
      <c r="N2050" s="1"/>
    </row>
    <row r="2051" spans="2:14" x14ac:dyDescent="0.35">
      <c r="B2051" s="5" t="str">
        <f>B2050</f>
        <v>SPS1</v>
      </c>
      <c r="C2051" s="5" t="str">
        <f t="shared" ref="C2051:C2113" si="2090">C2050</f>
        <v>CH</v>
      </c>
      <c r="D2051" t="s">
        <v>2180</v>
      </c>
      <c r="E2051" t="str">
        <f t="shared" ref="E2051:E2082" si="2091">E2050</f>
        <v>GWe/yr.</v>
      </c>
      <c r="F2051" s="1">
        <f t="shared" ref="F2051:L2051" si="2092">+F2052</f>
        <v>0</v>
      </c>
      <c r="G2051" s="1">
        <f t="shared" si="2092"/>
        <v>0</v>
      </c>
      <c r="H2051" s="1">
        <f t="shared" si="2092"/>
        <v>0</v>
      </c>
      <c r="I2051" s="1">
        <f t="shared" si="2092"/>
        <v>0</v>
      </c>
      <c r="J2051" s="1">
        <f t="shared" si="2092"/>
        <v>0</v>
      </c>
      <c r="K2051" s="1">
        <f t="shared" si="2092"/>
        <v>0</v>
      </c>
      <c r="L2051" s="1">
        <f t="shared" si="2092"/>
        <v>0</v>
      </c>
      <c r="N2051" s="1"/>
    </row>
    <row r="2052" spans="2:14" x14ac:dyDescent="0.35">
      <c r="B2052" s="5" t="str">
        <f t="shared" ref="B2052:B2113" si="2093">B2051</f>
        <v>SPS1</v>
      </c>
      <c r="C2052" s="5" t="str">
        <f t="shared" si="2090"/>
        <v>CH</v>
      </c>
      <c r="D2052" t="s">
        <v>2181</v>
      </c>
      <c r="E2052" t="str">
        <f t="shared" si="2091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93"/>
        <v>SPS1</v>
      </c>
      <c r="C2053" s="5" t="str">
        <f t="shared" si="2090"/>
        <v>CH</v>
      </c>
      <c r="D2053" t="s">
        <v>2182</v>
      </c>
      <c r="E2053" t="str">
        <f t="shared" si="2091"/>
        <v>GWe/yr.</v>
      </c>
      <c r="F2053" s="1">
        <f t="shared" ref="F2053:K2053" si="2094">SUM(F2054:F2056)</f>
        <v>0</v>
      </c>
      <c r="G2053" s="1">
        <f t="shared" si="2094"/>
        <v>3.7017572808714367E-3</v>
      </c>
      <c r="H2053" s="1">
        <f t="shared" si="2094"/>
        <v>5.4846139962276538E-2</v>
      </c>
      <c r="I2053" s="1">
        <f t="shared" si="2094"/>
        <v>0.2367533889686303</v>
      </c>
      <c r="J2053" s="1">
        <f t="shared" si="2094"/>
        <v>3.5464428566004916E-2</v>
      </c>
      <c r="K2053" s="1">
        <f t="shared" si="2094"/>
        <v>8.0566026217604517E-2</v>
      </c>
      <c r="L2053" s="1">
        <f t="shared" ref="L2053" si="2095">SUM(L2054:L2056)</f>
        <v>0.16253642590959516</v>
      </c>
      <c r="N2053" s="1"/>
    </row>
    <row r="2054" spans="2:14" x14ac:dyDescent="0.35">
      <c r="B2054" s="5" t="str">
        <f t="shared" si="2093"/>
        <v>SPS1</v>
      </c>
      <c r="C2054" s="5" t="str">
        <f t="shared" si="2090"/>
        <v>CH</v>
      </c>
      <c r="D2054" t="s">
        <v>2183</v>
      </c>
      <c r="E2054" t="str">
        <f t="shared" si="2091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3.529655799276115E-2</v>
      </c>
      <c r="K2054" s="1">
        <f>'[2]Electricity and CHPs_NCAP'!G$15</f>
        <v>5.6156898245623373E-2</v>
      </c>
      <c r="L2054" s="1">
        <f>'[2]Electricity and CHPs_NCAP'!H$15</f>
        <v>0.16253619830443</v>
      </c>
      <c r="N2054" s="1"/>
    </row>
    <row r="2055" spans="2:14" x14ac:dyDescent="0.35">
      <c r="B2055" s="5" t="str">
        <f t="shared" si="2093"/>
        <v>SPS1</v>
      </c>
      <c r="C2055" s="5" t="str">
        <f t="shared" si="2090"/>
        <v>CH</v>
      </c>
      <c r="D2055" t="s">
        <v>2184</v>
      </c>
      <c r="E2055" t="str">
        <f t="shared" si="2091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1.6785905784426678E-4</v>
      </c>
      <c r="K2055" s="1">
        <f>'[2]Electricity and CHPs_NCAP'!G$16</f>
        <v>2.4409110457152397E-2</v>
      </c>
      <c r="L2055" s="1">
        <f>'[2]Electricity and CHPs_NCAP'!H$16</f>
        <v>1.7091596766517839E-7</v>
      </c>
      <c r="N2055" s="1"/>
    </row>
    <row r="2056" spans="2:14" x14ac:dyDescent="0.35">
      <c r="B2056" s="5" t="str">
        <f t="shared" si="2093"/>
        <v>SPS1</v>
      </c>
      <c r="C2056" s="5" t="str">
        <f t="shared" si="2090"/>
        <v>CH</v>
      </c>
      <c r="D2056" t="s">
        <v>2185</v>
      </c>
      <c r="E2056" t="str">
        <f t="shared" si="2091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1.15153995040305E-8</v>
      </c>
      <c r="K2056" s="1">
        <f>'[2]Electricity and CHPs_NCAP'!G$17</f>
        <v>1.7514828743470599E-8</v>
      </c>
      <c r="L2056" s="1">
        <f>'[2]Electricity and CHPs_NCAP'!H$17</f>
        <v>5.6689197489623801E-8</v>
      </c>
      <c r="N2056" s="1"/>
    </row>
    <row r="2057" spans="2:14" x14ac:dyDescent="0.35">
      <c r="B2057" s="5" t="str">
        <f t="shared" si="2093"/>
        <v>SPS1</v>
      </c>
      <c r="C2057" s="5" t="str">
        <f t="shared" si="2090"/>
        <v>CH</v>
      </c>
      <c r="D2057" t="s">
        <v>2186</v>
      </c>
      <c r="E2057" t="str">
        <f t="shared" si="2091"/>
        <v>GWe/yr.</v>
      </c>
      <c r="F2057" s="1">
        <f t="shared" ref="F2057:K2057" si="2096">SUM(F2058:F2060)</f>
        <v>0</v>
      </c>
      <c r="G2057" s="1">
        <f t="shared" si="2096"/>
        <v>1.9949724558264145E-2</v>
      </c>
      <c r="H2057" s="1">
        <f t="shared" si="2096"/>
        <v>1.9119265164591569E-4</v>
      </c>
      <c r="I2057" s="1">
        <f t="shared" si="2096"/>
        <v>2.9998681744258283E-2</v>
      </c>
      <c r="J2057" s="1">
        <f t="shared" si="2096"/>
        <v>1.8276400529335516E-4</v>
      </c>
      <c r="K2057" s="1">
        <f t="shared" si="2096"/>
        <v>1.4181012151521823E-2</v>
      </c>
      <c r="L2057" s="1">
        <f t="shared" ref="L2057" si="2097">SUM(L2058:L2060)</f>
        <v>8.8406986485627104E-8</v>
      </c>
      <c r="N2057" s="1"/>
    </row>
    <row r="2058" spans="2:14" x14ac:dyDescent="0.35">
      <c r="B2058" s="5" t="str">
        <f t="shared" si="2093"/>
        <v>SPS1</v>
      </c>
      <c r="C2058" s="5" t="str">
        <f t="shared" si="2090"/>
        <v>CH</v>
      </c>
      <c r="D2058" t="s">
        <v>2187</v>
      </c>
      <c r="E2058" t="str">
        <f t="shared" si="2091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1.82086027704503E-4</v>
      </c>
      <c r="K2058" s="1">
        <f>'[2]Electricity and CHPs_NCAP'!G$18</f>
        <v>1.6867438982094801E-7</v>
      </c>
      <c r="L2058" s="1">
        <f>'[2]Electricity and CHPs_NCAP'!H$18</f>
        <v>5.9516604603532398E-8</v>
      </c>
      <c r="N2058" s="1"/>
    </row>
    <row r="2059" spans="2:14" x14ac:dyDescent="0.35">
      <c r="B2059" s="5" t="str">
        <f t="shared" si="2093"/>
        <v>SPS1</v>
      </c>
      <c r="C2059" s="5" t="str">
        <f t="shared" si="2090"/>
        <v>CH</v>
      </c>
      <c r="D2059" t="s">
        <v>2188</v>
      </c>
      <c r="E2059" t="str">
        <f t="shared" si="2091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6.7797758885217298E-7</v>
      </c>
      <c r="K2059" s="1">
        <f>'[2]Electricity and CHPs_NCAP'!G$28</f>
        <v>1.4180843477132001E-2</v>
      </c>
      <c r="L2059" s="1">
        <f>'[2]Electricity and CHPs_NCAP'!H$28</f>
        <v>2.88903818820947E-8</v>
      </c>
      <c r="N2059" s="1"/>
    </row>
    <row r="2060" spans="2:14" x14ac:dyDescent="0.35">
      <c r="B2060" s="5" t="str">
        <f t="shared" si="2093"/>
        <v>SPS1</v>
      </c>
      <c r="C2060" s="5" t="str">
        <f t="shared" si="2090"/>
        <v>CH</v>
      </c>
      <c r="D2060" t="s">
        <v>2189</v>
      </c>
      <c r="E2060" t="str">
        <f t="shared" si="2091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93"/>
        <v>SPS1</v>
      </c>
      <c r="C2061" s="5" t="str">
        <f t="shared" si="2090"/>
        <v>CH</v>
      </c>
      <c r="D2061" t="s">
        <v>2190</v>
      </c>
      <c r="E2061" t="str">
        <f t="shared" si="2091"/>
        <v>GWe/yr.</v>
      </c>
      <c r="F2061" s="1">
        <f t="shared" ref="F2061:K2061" si="2098">SUM(F2062:F2076)</f>
        <v>0</v>
      </c>
      <c r="G2061" s="1">
        <f t="shared" si="2098"/>
        <v>5.7876765022081264E-2</v>
      </c>
      <c r="H2061" s="1">
        <f t="shared" si="2098"/>
        <v>6.6697970952489805E-3</v>
      </c>
      <c r="I2061" s="1">
        <f t="shared" si="2098"/>
        <v>3.5186848546052675E-2</v>
      </c>
      <c r="J2061" s="1">
        <f t="shared" si="2098"/>
        <v>9.0350487703309557E-2</v>
      </c>
      <c r="K2061" s="1">
        <f t="shared" si="2098"/>
        <v>3.1244610685254203E-2</v>
      </c>
      <c r="L2061" s="1">
        <f t="shared" ref="L2061" si="2099">SUM(L2062:L2076)</f>
        <v>0.2258771465062796</v>
      </c>
      <c r="N2061" s="1"/>
    </row>
    <row r="2062" spans="2:14" x14ac:dyDescent="0.35">
      <c r="B2062" s="5" t="str">
        <f t="shared" si="2093"/>
        <v>SPS1</v>
      </c>
      <c r="C2062" s="5" t="str">
        <f t="shared" si="2090"/>
        <v>CH</v>
      </c>
      <c r="D2062" t="s">
        <v>2191</v>
      </c>
      <c r="E2062" t="str">
        <f t="shared" si="2091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5.9297707579395697E-8</v>
      </c>
      <c r="L2062" s="1">
        <f>'[2]Electricity and CHPs_NCAP'!H$21</f>
        <v>1.7081550724707802E-2</v>
      </c>
      <c r="N2062" s="1"/>
    </row>
    <row r="2063" spans="2:14" x14ac:dyDescent="0.35">
      <c r="B2063" s="5" t="str">
        <f t="shared" si="2093"/>
        <v>SPS1</v>
      </c>
      <c r="C2063" s="5" t="str">
        <f t="shared" si="2090"/>
        <v>CH</v>
      </c>
      <c r="D2063" t="s">
        <v>2192</v>
      </c>
      <c r="E2063" t="str">
        <f t="shared" si="2091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9.3014024726809604E-5</v>
      </c>
      <c r="K2063" s="1">
        <f>'[2]Electricity and CHPs_NCAP'!G$22</f>
        <v>5.7983820271813404E-7</v>
      </c>
      <c r="L2063" s="1">
        <f>'[2]Electricity and CHPs_NCAP'!H$22</f>
        <v>0.14878911917062701</v>
      </c>
      <c r="N2063" s="1"/>
    </row>
    <row r="2064" spans="2:14" x14ac:dyDescent="0.35">
      <c r="B2064" s="5" t="str">
        <f t="shared" si="2093"/>
        <v>SPS1</v>
      </c>
      <c r="C2064" s="5" t="str">
        <f t="shared" si="2090"/>
        <v>CH</v>
      </c>
      <c r="D2064" t="s">
        <v>2193</v>
      </c>
      <c r="E2064" t="str">
        <f t="shared" si="2091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3"/>
        <v>SPS1</v>
      </c>
      <c r="C2065" s="5" t="str">
        <f t="shared" si="2090"/>
        <v>CH</v>
      </c>
      <c r="D2065" t="s">
        <v>2194</v>
      </c>
      <c r="E2065" t="str">
        <f t="shared" si="2091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93"/>
        <v>SPS1</v>
      </c>
      <c r="C2066" s="5" t="str">
        <f t="shared" si="2090"/>
        <v>CH</v>
      </c>
      <c r="D2066" t="s">
        <v>2195</v>
      </c>
      <c r="E2066" t="str">
        <f t="shared" si="2091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93"/>
        <v>SPS1</v>
      </c>
      <c r="C2067" s="5" t="str">
        <f t="shared" si="2090"/>
        <v>CH</v>
      </c>
      <c r="D2067" t="s">
        <v>2196</v>
      </c>
      <c r="E2067" t="str">
        <f t="shared" si="2091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4.61628339226813E-2</v>
      </c>
      <c r="K2067" s="1">
        <f>'[2]Electricity and CHPs_NCAP'!G$39</f>
        <v>2.8683783347209198E-7</v>
      </c>
      <c r="L2067" s="1">
        <f>'[2]Electricity and CHPs_NCAP'!H$39</f>
        <v>5.0752368193667796E-3</v>
      </c>
      <c r="N2067" s="1"/>
    </row>
    <row r="2068" spans="2:14" x14ac:dyDescent="0.35">
      <c r="B2068" s="5" t="str">
        <f t="shared" si="2093"/>
        <v>SPS1</v>
      </c>
      <c r="C2068" s="5" t="str">
        <f t="shared" si="2090"/>
        <v>CH</v>
      </c>
      <c r="D2068" t="s">
        <v>2197</v>
      </c>
      <c r="E2068" t="str">
        <f t="shared" si="2091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8.76244745239817E-5</v>
      </c>
      <c r="L2068" s="1">
        <f>'[2]Electricity and CHPs_NCAP'!H$40</f>
        <v>1.14364613842084E-2</v>
      </c>
      <c r="N2068" s="1"/>
    </row>
    <row r="2069" spans="2:14" x14ac:dyDescent="0.35">
      <c r="B2069" s="5" t="str">
        <f t="shared" si="2093"/>
        <v>SPS1</v>
      </c>
      <c r="C2069" s="5" t="str">
        <f t="shared" si="2090"/>
        <v>CH</v>
      </c>
      <c r="D2069" t="s">
        <v>2198</v>
      </c>
      <c r="E2069" t="str">
        <f t="shared" si="2091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1.0976977804255101E-5</v>
      </c>
      <c r="K2069" s="1">
        <f>'[2]Electricity and CHPs_NCAP'!G$47</f>
        <v>5.1667503654534096E-6</v>
      </c>
      <c r="L2069" s="1">
        <f>'[2]Electricity and CHPs_NCAP'!H$47</f>
        <v>5.1923489493278897E-6</v>
      </c>
      <c r="N2069" s="1"/>
    </row>
    <row r="2070" spans="2:14" x14ac:dyDescent="0.35">
      <c r="B2070" s="5" t="str">
        <f t="shared" si="2093"/>
        <v>SPS1</v>
      </c>
      <c r="C2070" s="5" t="str">
        <f t="shared" si="2090"/>
        <v>CH</v>
      </c>
      <c r="D2070" t="s">
        <v>2199</v>
      </c>
      <c r="E2070" t="str">
        <f t="shared" si="2091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93"/>
        <v>SPS1</v>
      </c>
      <c r="C2071" s="5" t="str">
        <f t="shared" si="2090"/>
        <v>CH</v>
      </c>
      <c r="D2071" t="s">
        <v>2200</v>
      </c>
      <c r="E2071" t="str">
        <f t="shared" si="2091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93"/>
        <v>SPS1</v>
      </c>
      <c r="C2072" s="5" t="str">
        <f t="shared" si="2090"/>
        <v>CH</v>
      </c>
      <c r="D2072" t="s">
        <v>2201</v>
      </c>
      <c r="E2072" t="str">
        <f t="shared" si="2091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93"/>
        <v>SPS1</v>
      </c>
      <c r="C2073" s="5" t="str">
        <f t="shared" si="2090"/>
        <v>CH</v>
      </c>
      <c r="D2073" t="s">
        <v>2202</v>
      </c>
      <c r="E2073" t="str">
        <f t="shared" si="2091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93"/>
        <v>SPS1</v>
      </c>
      <c r="C2074" s="5" t="str">
        <f t="shared" si="2090"/>
        <v>CH</v>
      </c>
      <c r="D2074" t="s">
        <v>2203</v>
      </c>
      <c r="E2074" t="str">
        <f t="shared" si="2091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4.40836627780972E-2</v>
      </c>
      <c r="K2074" s="1">
        <f>'[2]Electricity and CHPs_NCAP'!G$54</f>
        <v>3.1150893486620999E-2</v>
      </c>
      <c r="L2074" s="1">
        <f>'[2]Electricity and CHPs_NCAP'!H$54</f>
        <v>4.34895860584203E-2</v>
      </c>
      <c r="N2074" s="1"/>
    </row>
    <row r="2075" spans="2:14" x14ac:dyDescent="0.35">
      <c r="B2075" s="5" t="str">
        <f t="shared" si="2093"/>
        <v>SPS1</v>
      </c>
      <c r="C2075" s="5" t="str">
        <f t="shared" si="2090"/>
        <v>CH</v>
      </c>
      <c r="D2075" t="s">
        <v>2204</v>
      </c>
      <c r="E2075" t="str">
        <f t="shared" si="2091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93"/>
        <v>SPS1</v>
      </c>
      <c r="C2076" s="5" t="str">
        <f t="shared" si="2090"/>
        <v>CH</v>
      </c>
      <c r="D2076" t="s">
        <v>2205</v>
      </c>
      <c r="E2076" t="str">
        <f t="shared" si="2091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93"/>
        <v>SPS1</v>
      </c>
      <c r="C2077" s="5" t="str">
        <f t="shared" si="2090"/>
        <v>CH</v>
      </c>
      <c r="D2077" t="s">
        <v>2206</v>
      </c>
      <c r="E2077" t="str">
        <f t="shared" si="2091"/>
        <v>GWe/yr.</v>
      </c>
      <c r="F2077" s="1">
        <f t="shared" ref="F2077:K2077" si="2100">SUM(F2078:F2083)</f>
        <v>0</v>
      </c>
      <c r="G2077" s="1">
        <f t="shared" si="2100"/>
        <v>7.6334568905744895E-7</v>
      </c>
      <c r="H2077" s="1">
        <f t="shared" si="2100"/>
        <v>3.0783703818361076E-2</v>
      </c>
      <c r="I2077" s="1">
        <f t="shared" si="2100"/>
        <v>3.8565100251408573E-2</v>
      </c>
      <c r="J2077" s="1">
        <f t="shared" si="2100"/>
        <v>9.4727332223184121E-2</v>
      </c>
      <c r="K2077" s="1">
        <f t="shared" si="2100"/>
        <v>0.12399624197491861</v>
      </c>
      <c r="L2077" s="1">
        <f t="shared" ref="L2077" si="2101">SUM(L2078:L2083)</f>
        <v>0.29943286340201902</v>
      </c>
      <c r="N2077" s="1"/>
    </row>
    <row r="2078" spans="2:14" x14ac:dyDescent="0.35">
      <c r="B2078" s="5" t="str">
        <f t="shared" si="2093"/>
        <v>SPS1</v>
      </c>
      <c r="C2078" s="5" t="str">
        <f t="shared" si="2090"/>
        <v>CH</v>
      </c>
      <c r="D2078" t="s">
        <v>2207</v>
      </c>
      <c r="E2078" t="str">
        <f t="shared" si="2091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8.9330704267916394E-2</v>
      </c>
      <c r="K2078" s="1">
        <f>'[2]Electricity and CHPs_NCAP'!G$19</f>
        <v>0</v>
      </c>
      <c r="L2078" s="1">
        <f>'[2]Electricity and CHPs_NCAP'!H$19</f>
        <v>0</v>
      </c>
      <c r="N2078" s="1"/>
    </row>
    <row r="2079" spans="2:14" x14ac:dyDescent="0.35">
      <c r="B2079" s="5" t="str">
        <f t="shared" si="2093"/>
        <v>SPS1</v>
      </c>
      <c r="C2079" s="5" t="str">
        <f t="shared" si="2090"/>
        <v>CH</v>
      </c>
      <c r="D2079" t="s">
        <v>2208</v>
      </c>
      <c r="E2079" t="str">
        <f t="shared" si="2091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0.100709237080133</v>
      </c>
      <c r="L2079" s="1">
        <f>'[2]Electricity and CHPs_NCAP'!H$20</f>
        <v>0.21851313508428599</v>
      </c>
      <c r="N2079" s="1"/>
    </row>
    <row r="2080" spans="2:14" x14ac:dyDescent="0.35">
      <c r="B2080" s="5" t="str">
        <f t="shared" si="2093"/>
        <v>SPS1</v>
      </c>
      <c r="C2080" s="5" t="str">
        <f t="shared" si="2090"/>
        <v>CH</v>
      </c>
      <c r="D2080" t="s">
        <v>2209</v>
      </c>
      <c r="E2080" t="str">
        <f t="shared" si="2091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5.3966163237360899E-3</v>
      </c>
      <c r="K2080" s="1">
        <f>'[2]Electricity and CHPs_NCAP'!G$26</f>
        <v>0</v>
      </c>
      <c r="L2080" s="1">
        <f>'[2]Electricity and CHPs_NCAP'!H$26</f>
        <v>0</v>
      </c>
      <c r="N2080" s="1"/>
    </row>
    <row r="2081" spans="2:14" x14ac:dyDescent="0.35">
      <c r="B2081" s="5" t="str">
        <f t="shared" si="2093"/>
        <v>SPS1</v>
      </c>
      <c r="C2081" s="5" t="str">
        <f t="shared" si="2090"/>
        <v>CH</v>
      </c>
      <c r="D2081" t="s">
        <v>2210</v>
      </c>
      <c r="E2081" t="str">
        <f t="shared" si="2091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2.3278192585845601E-2</v>
      </c>
      <c r="L2081" s="1">
        <f>'[2]Electricity and CHPs_NCAP'!H$27</f>
        <v>5.1597039623557599E-2</v>
      </c>
      <c r="N2081" s="1"/>
    </row>
    <row r="2082" spans="2:14" x14ac:dyDescent="0.35">
      <c r="B2082" s="5" t="str">
        <f t="shared" si="2093"/>
        <v>SPS1</v>
      </c>
      <c r="C2082" s="5" t="str">
        <f t="shared" si="2090"/>
        <v>CH</v>
      </c>
      <c r="D2082" t="s">
        <v>2211</v>
      </c>
      <c r="E2082" t="str">
        <f t="shared" si="2091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1.16315316367604E-8</v>
      </c>
      <c r="K2082" s="1">
        <f>'[2]Electricity and CHPs_NCAP'!G$44</f>
        <v>0</v>
      </c>
      <c r="L2082" s="1">
        <f>'[2]Electricity and CHPs_NCAP'!H$44</f>
        <v>0</v>
      </c>
      <c r="N2082" s="1"/>
    </row>
    <row r="2083" spans="2:14" x14ac:dyDescent="0.35">
      <c r="B2083" s="5" t="str">
        <f t="shared" si="2093"/>
        <v>SPS1</v>
      </c>
      <c r="C2083" s="5" t="str">
        <f t="shared" si="2090"/>
        <v>CH</v>
      </c>
      <c r="D2083" t="s">
        <v>2212</v>
      </c>
      <c r="E2083" t="str">
        <f t="shared" ref="E2083:E2113" si="2102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8.8123089400115393E-6</v>
      </c>
      <c r="L2083" s="1">
        <f>'[2]Electricity and CHPs_NCAP'!H$45</f>
        <v>2.9322688694175401E-2</v>
      </c>
      <c r="N2083" s="1"/>
    </row>
    <row r="2084" spans="2:14" x14ac:dyDescent="0.35">
      <c r="B2084" s="5" t="str">
        <f t="shared" si="2093"/>
        <v>SPS1</v>
      </c>
      <c r="C2084" s="5" t="str">
        <f t="shared" si="2090"/>
        <v>CH</v>
      </c>
      <c r="D2084" t="s">
        <v>2213</v>
      </c>
      <c r="E2084" t="str">
        <f t="shared" si="2102"/>
        <v>GWe/yr.</v>
      </c>
      <c r="F2084" s="1">
        <f t="shared" ref="F2084:K2084" si="2103">SUM(F2085:F2091)</f>
        <v>0</v>
      </c>
      <c r="G2084" s="1">
        <f t="shared" si="2103"/>
        <v>1.7612557633927172E-2</v>
      </c>
      <c r="H2084" s="1">
        <f t="shared" si="2103"/>
        <v>2.3551124415519611E-2</v>
      </c>
      <c r="I2084" s="1">
        <f t="shared" si="2103"/>
        <v>5.9315421067219716E-2</v>
      </c>
      <c r="J2084" s="1">
        <f t="shared" si="2103"/>
        <v>1.9015846351582509E-2</v>
      </c>
      <c r="K2084" s="1">
        <f t="shared" si="2103"/>
        <v>0.11583032606714753</v>
      </c>
      <c r="L2084" s="1">
        <f t="shared" ref="L2084" si="2104">SUM(L2085:L2091)</f>
        <v>0.18042940121578543</v>
      </c>
      <c r="N2084" s="1"/>
    </row>
    <row r="2085" spans="2:14" x14ac:dyDescent="0.35">
      <c r="B2085" s="5" t="str">
        <f t="shared" si="2093"/>
        <v>SPS1</v>
      </c>
      <c r="C2085" s="5" t="str">
        <f t="shared" si="2090"/>
        <v>CH</v>
      </c>
      <c r="D2085" t="s">
        <v>2214</v>
      </c>
      <c r="E2085" t="str">
        <f t="shared" si="2102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6.2984601849793004E-8</v>
      </c>
      <c r="K2085" s="1">
        <f>'[2]Electricity and CHPs_NCAP'!G$25</f>
        <v>1.6476557464924602E-2</v>
      </c>
      <c r="L2085" s="1">
        <f>'[2]Electricity and CHPs_NCAP'!H$25</f>
        <v>5.8776187366764002E-2</v>
      </c>
      <c r="N2085" s="1"/>
    </row>
    <row r="2086" spans="2:14" x14ac:dyDescent="0.35">
      <c r="B2086" s="5" t="str">
        <f t="shared" si="2093"/>
        <v>SPS1</v>
      </c>
      <c r="C2086" s="5" t="str">
        <f t="shared" si="2090"/>
        <v>CH</v>
      </c>
      <c r="D2086" t="s">
        <v>2215</v>
      </c>
      <c r="E2086" t="str">
        <f t="shared" si="2102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2.0901688667488099E-5</v>
      </c>
      <c r="L2086" s="1">
        <f>'[2]Electricity and CHPs_NCAP'!H$31</f>
        <v>1.49907274456481E-5</v>
      </c>
      <c r="N2086" s="1"/>
    </row>
    <row r="2087" spans="2:14" x14ac:dyDescent="0.35">
      <c r="B2087" s="5" t="str">
        <f t="shared" si="2093"/>
        <v>SPS1</v>
      </c>
      <c r="C2087" s="5" t="str">
        <f t="shared" si="2090"/>
        <v>CH</v>
      </c>
      <c r="D2087" t="s">
        <v>2216</v>
      </c>
      <c r="E2087" t="str">
        <f t="shared" si="2102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1.8809986560519E-2</v>
      </c>
      <c r="K2087" s="1">
        <f>'[2]Electricity and CHPs_NCAP'!G$42</f>
        <v>1.8307309787991801E-2</v>
      </c>
      <c r="L2087" s="1">
        <f>'[2]Electricity and CHPs_NCAP'!H$42</f>
        <v>5.6942881985975198E-2</v>
      </c>
      <c r="N2087" s="1"/>
    </row>
    <row r="2088" spans="2:14" x14ac:dyDescent="0.35">
      <c r="B2088" s="5" t="str">
        <f t="shared" si="2093"/>
        <v>SPS1</v>
      </c>
      <c r="C2088" s="5" t="str">
        <f t="shared" si="2090"/>
        <v>CH</v>
      </c>
      <c r="D2088" t="s">
        <v>2217</v>
      </c>
      <c r="E2088" t="str">
        <f t="shared" si="2102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5.4564963122858599E-2</v>
      </c>
      <c r="L2088" s="1">
        <f>'[2]Electricity and CHPs_NCAP'!H$43</f>
        <v>6.4693243748134094E-2</v>
      </c>
      <c r="N2088" s="1"/>
    </row>
    <row r="2089" spans="2:14" x14ac:dyDescent="0.35">
      <c r="B2089" s="5" t="str">
        <f t="shared" si="2093"/>
        <v>SPS1</v>
      </c>
      <c r="C2089" s="5" t="str">
        <f t="shared" si="2090"/>
        <v>CH</v>
      </c>
      <c r="D2089" t="s">
        <v>2218</v>
      </c>
      <c r="E2089" t="str">
        <f t="shared" si="2102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1.5462236329133159E-5</v>
      </c>
      <c r="K2089" s="1">
        <f>'[2]Electricity and CHPs_NCAP'!G$50</f>
        <v>8.2380160395106008E-6</v>
      </c>
      <c r="L2089" s="1">
        <f>'[2]Electricity and CHPs_NCAP'!H$50</f>
        <v>1.0048886428581926E-6</v>
      </c>
      <c r="N2089" s="1"/>
    </row>
    <row r="2090" spans="2:14" x14ac:dyDescent="0.35">
      <c r="B2090" s="5" t="str">
        <f t="shared" si="2093"/>
        <v>SPS1</v>
      </c>
      <c r="C2090" s="5" t="str">
        <f t="shared" si="2090"/>
        <v>CH</v>
      </c>
      <c r="D2090" t="s">
        <v>2219</v>
      </c>
      <c r="E2090" t="str">
        <f t="shared" si="2102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1.8508442901539598E-4</v>
      </c>
      <c r="K2090" s="1">
        <f>'[2]Electricity and CHPs_NCAP'!G$53</f>
        <v>2.6449971720152499E-2</v>
      </c>
      <c r="L2090" s="1">
        <f>'[2]Electricity and CHPs_NCAP'!H$53</f>
        <v>2.3648958127005598E-8</v>
      </c>
      <c r="N2090" s="1"/>
    </row>
    <row r="2091" spans="2:14" x14ac:dyDescent="0.35">
      <c r="B2091" s="5" t="str">
        <f t="shared" si="2093"/>
        <v>SPS1</v>
      </c>
      <c r="C2091" s="5" t="str">
        <f t="shared" si="2090"/>
        <v>CH</v>
      </c>
      <c r="D2091" t="s">
        <v>2220</v>
      </c>
      <c r="E2091" t="str">
        <f t="shared" si="2102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5.2501411171318804E-6</v>
      </c>
      <c r="K2091" s="1">
        <f>'[2]Electricity and CHPs_NCAP'!G$56</f>
        <v>2.3842665130448899E-6</v>
      </c>
      <c r="L2091" s="1">
        <f>'[2]Electricity and CHPs_NCAP'!H$56</f>
        <v>1.0688498654911499E-6</v>
      </c>
      <c r="N2091" s="1"/>
    </row>
    <row r="2092" spans="2:14" x14ac:dyDescent="0.35">
      <c r="B2092" s="5" t="str">
        <f t="shared" si="2093"/>
        <v>SPS1</v>
      </c>
      <c r="C2092" s="5" t="str">
        <f t="shared" si="2090"/>
        <v>CH</v>
      </c>
      <c r="D2092" t="s">
        <v>2221</v>
      </c>
      <c r="E2092" t="str">
        <f t="shared" si="2102"/>
        <v>GWe/yr.</v>
      </c>
      <c r="F2092" s="1">
        <f t="shared" ref="F2092:L2092" si="2105">F2093</f>
        <v>0</v>
      </c>
      <c r="G2092" s="1">
        <f t="shared" si="2105"/>
        <v>7.1321598926009696E-3</v>
      </c>
      <c r="H2092" s="1">
        <f t="shared" si="2105"/>
        <v>0.29200640875718398</v>
      </c>
      <c r="I2092" s="1">
        <f t="shared" si="2105"/>
        <v>0.28588652815226001</v>
      </c>
      <c r="J2092" s="1">
        <f t="shared" si="2105"/>
        <v>0.74282600488207096</v>
      </c>
      <c r="K2092" s="1">
        <f t="shared" si="2105"/>
        <v>4.4337259347104298E-7</v>
      </c>
      <c r="L2092" s="1">
        <f t="shared" si="2105"/>
        <v>0.87131074372686901</v>
      </c>
      <c r="N2092" s="1"/>
    </row>
    <row r="2093" spans="2:14" x14ac:dyDescent="0.35">
      <c r="B2093" s="5" t="str">
        <f t="shared" si="2093"/>
        <v>SPS1</v>
      </c>
      <c r="C2093" s="5" t="str">
        <f t="shared" si="2090"/>
        <v>CH</v>
      </c>
      <c r="D2093" t="s">
        <v>2222</v>
      </c>
      <c r="E2093" t="str">
        <f t="shared" si="2102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0.74282600488207096</v>
      </c>
      <c r="K2093" s="1">
        <f>'[2]Electricity and CHPs_NCAP'!G$33</f>
        <v>4.4337259347104298E-7</v>
      </c>
      <c r="L2093" s="1">
        <f>'[2]Electricity and CHPs_NCAP'!H$33</f>
        <v>0.87131074372686901</v>
      </c>
      <c r="N2093" s="1"/>
    </row>
    <row r="2094" spans="2:14" x14ac:dyDescent="0.35">
      <c r="B2094" s="5" t="str">
        <f t="shared" si="2093"/>
        <v>SPS1</v>
      </c>
      <c r="C2094" s="5" t="str">
        <f t="shared" si="2090"/>
        <v>CH</v>
      </c>
      <c r="D2094" t="s">
        <v>2223</v>
      </c>
      <c r="E2094" t="str">
        <f t="shared" si="2102"/>
        <v>GWe/yr.</v>
      </c>
      <c r="F2094" s="1">
        <f t="shared" ref="F2094:K2094" si="2106">SUM(F2095:F2099)</f>
        <v>0</v>
      </c>
      <c r="G2094" s="1">
        <f t="shared" si="2106"/>
        <v>3.3389746682598918E-5</v>
      </c>
      <c r="H2094" s="1">
        <f t="shared" si="2106"/>
        <v>4.523874197280275</v>
      </c>
      <c r="I2094" s="1">
        <f t="shared" si="2106"/>
        <v>5.5305697936179214</v>
      </c>
      <c r="J2094" s="1">
        <f t="shared" si="2106"/>
        <v>4.3281037894366285</v>
      </c>
      <c r="K2094" s="1">
        <f t="shared" si="2106"/>
        <v>10.273708293973481</v>
      </c>
      <c r="L2094" s="1">
        <f t="shared" ref="L2094" si="2107">SUM(L2095:L2099)</f>
        <v>19.137754609978174</v>
      </c>
      <c r="N2094" s="1"/>
    </row>
    <row r="2095" spans="2:14" x14ac:dyDescent="0.35">
      <c r="B2095" s="5" t="str">
        <f t="shared" si="2093"/>
        <v>SPS1</v>
      </c>
      <c r="C2095" s="5" t="str">
        <f t="shared" si="2090"/>
        <v>CH</v>
      </c>
      <c r="D2095" t="s">
        <v>2224</v>
      </c>
      <c r="E2095" t="str">
        <f t="shared" si="2102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0.19424165120061093</v>
      </c>
      <c r="K2095" s="1">
        <f>'[2]Electricity and CHPs_NCAP'!G$34</f>
        <v>0.60618680303648709</v>
      </c>
      <c r="L2095" s="1">
        <f>'[2]Electricity and CHPs_NCAP'!H$34</f>
        <v>4.1543680943247496</v>
      </c>
      <c r="N2095" s="1"/>
    </row>
    <row r="2096" spans="2:14" x14ac:dyDescent="0.35">
      <c r="B2096" s="5" t="str">
        <f t="shared" si="2093"/>
        <v>SPS1</v>
      </c>
      <c r="C2096" s="5" t="str">
        <f t="shared" si="2090"/>
        <v>CH</v>
      </c>
      <c r="D2096" t="s">
        <v>2225</v>
      </c>
      <c r="E2096" t="str">
        <f t="shared" si="2102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2.8908321614941799</v>
      </c>
      <c r="K2096" s="1">
        <f>'[2]Electricity and CHPs_NCAP'!G$35</f>
        <v>4.4944812557074796</v>
      </c>
      <c r="L2096" s="1">
        <f>'[2]Electricity and CHPs_NCAP'!H$35</f>
        <v>7.3333284205044</v>
      </c>
      <c r="N2096" s="1"/>
    </row>
    <row r="2097" spans="2:14" x14ac:dyDescent="0.35">
      <c r="B2097" s="5" t="str">
        <f t="shared" si="2093"/>
        <v>SPS1</v>
      </c>
      <c r="C2097" s="5" t="str">
        <f t="shared" si="2090"/>
        <v>CH</v>
      </c>
      <c r="D2097" t="s">
        <v>2226</v>
      </c>
      <c r="E2097" t="str">
        <f t="shared" si="2102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0.40045227030941299</v>
      </c>
      <c r="K2097" s="1">
        <f>'[2]Electricity and CHPs_NCAP'!G$36</f>
        <v>0.77053892843001093</v>
      </c>
      <c r="L2097" s="1">
        <f>'[2]Electricity and CHPs_NCAP'!H$36</f>
        <v>2.557717490703145</v>
      </c>
      <c r="N2097" s="1"/>
    </row>
    <row r="2098" spans="2:14" x14ac:dyDescent="0.35">
      <c r="B2098" s="5" t="str">
        <f t="shared" si="2093"/>
        <v>SPS1</v>
      </c>
      <c r="C2098" s="5" t="str">
        <f t="shared" si="2090"/>
        <v>CH</v>
      </c>
      <c r="D2098" t="s">
        <v>2227</v>
      </c>
      <c r="E2098" t="str">
        <f t="shared" si="2102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0.11250040761356013</v>
      </c>
      <c r="K2098" s="1">
        <f>'[2]Electricity and CHPs_NCAP'!G$37</f>
        <v>0.25045419728393159</v>
      </c>
      <c r="L2098" s="1">
        <f>'[2]Electricity and CHPs_NCAP'!H$37</f>
        <v>0.23541782648263815</v>
      </c>
      <c r="N2098" s="1"/>
    </row>
    <row r="2099" spans="2:14" x14ac:dyDescent="0.35">
      <c r="B2099" s="5" t="str">
        <f t="shared" si="2093"/>
        <v>SPS1</v>
      </c>
      <c r="C2099" s="5" t="str">
        <f t="shared" si="2090"/>
        <v>CH</v>
      </c>
      <c r="D2099" t="s">
        <v>2228</v>
      </c>
      <c r="E2099" t="str">
        <f t="shared" si="2102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0.73007729881886396</v>
      </c>
      <c r="K2099" s="1">
        <f>'[2]Electricity and CHPs_NCAP'!G$38</f>
        <v>4.1520471095155704</v>
      </c>
      <c r="L2099" s="1">
        <f>'[2]Electricity and CHPs_NCAP'!H$38</f>
        <v>4.8569227779632396</v>
      </c>
      <c r="N2099" s="1"/>
    </row>
    <row r="2100" spans="2:14" x14ac:dyDescent="0.35">
      <c r="B2100" s="5" t="str">
        <f t="shared" si="2093"/>
        <v>SPS1</v>
      </c>
      <c r="C2100" s="5" t="str">
        <f t="shared" si="2090"/>
        <v>CH</v>
      </c>
      <c r="D2100" t="s">
        <v>2229</v>
      </c>
      <c r="E2100" t="str">
        <f t="shared" si="2102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2.7493660094828802E-4</v>
      </c>
      <c r="L2100" s="1">
        <f>'[2]Electricity and CHPs_NCAP'!H$32</f>
        <v>0.45595682729322801</v>
      </c>
      <c r="N2100" s="1"/>
    </row>
    <row r="2101" spans="2:14" x14ac:dyDescent="0.35">
      <c r="B2101" s="5" t="str">
        <f t="shared" si="2093"/>
        <v>SPS1</v>
      </c>
      <c r="C2101" s="5" t="str">
        <f t="shared" si="2090"/>
        <v>CH</v>
      </c>
      <c r="D2101" t="s">
        <v>2230</v>
      </c>
      <c r="E2101" t="str">
        <f t="shared" si="2102"/>
        <v>GWe/yr.</v>
      </c>
      <c r="F2101" s="1">
        <f t="shared" ref="F2101:K2101" si="2108">F2100</f>
        <v>0</v>
      </c>
      <c r="G2101" s="1">
        <f t="shared" si="2108"/>
        <v>0</v>
      </c>
      <c r="H2101" s="1">
        <f t="shared" si="2108"/>
        <v>0</v>
      </c>
      <c r="I2101" s="1">
        <f t="shared" si="2108"/>
        <v>0</v>
      </c>
      <c r="J2101" s="1">
        <f t="shared" si="2108"/>
        <v>0</v>
      </c>
      <c r="K2101" s="1">
        <f t="shared" si="2108"/>
        <v>2.7493660094828802E-4</v>
      </c>
      <c r="L2101" s="1">
        <f t="shared" ref="L2101" si="2109">L2100</f>
        <v>0.45595682729322801</v>
      </c>
      <c r="N2101" s="1"/>
    </row>
    <row r="2102" spans="2:14" x14ac:dyDescent="0.35">
      <c r="B2102" s="5" t="str">
        <f t="shared" si="2093"/>
        <v>SPS1</v>
      </c>
      <c r="C2102" s="5" t="str">
        <f t="shared" si="2090"/>
        <v>CH</v>
      </c>
      <c r="D2102" t="s">
        <v>2231</v>
      </c>
      <c r="E2102" t="str">
        <f t="shared" si="2102"/>
        <v>GWe/yr.</v>
      </c>
      <c r="F2102" s="1">
        <f t="shared" ref="F2102:K2102" si="2110">SUM(F2103:F2105)</f>
        <v>0</v>
      </c>
      <c r="G2102" s="1">
        <f t="shared" si="2110"/>
        <v>0</v>
      </c>
      <c r="H2102" s="1">
        <f t="shared" si="2110"/>
        <v>0</v>
      </c>
      <c r="I2102" s="1">
        <f t="shared" si="2110"/>
        <v>1.4387274741387371E-3</v>
      </c>
      <c r="J2102" s="1">
        <f t="shared" si="2110"/>
        <v>2.1467971221533098E-5</v>
      </c>
      <c r="K2102" s="1">
        <f t="shared" si="2110"/>
        <v>1.4153424663466811E-2</v>
      </c>
      <c r="L2102" s="1">
        <f t="shared" ref="L2102" si="2111">SUM(L2103:L2105)</f>
        <v>8.6140619701804574E-2</v>
      </c>
      <c r="N2102" s="1"/>
    </row>
    <row r="2103" spans="2:14" x14ac:dyDescent="0.35">
      <c r="B2103" s="5" t="str">
        <f t="shared" si="2093"/>
        <v>SPS1</v>
      </c>
      <c r="C2103" s="5" t="str">
        <f t="shared" si="2090"/>
        <v>CH</v>
      </c>
      <c r="D2103" t="s">
        <v>2232</v>
      </c>
      <c r="E2103" t="str">
        <f t="shared" si="2102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1.22587649045577E-2</v>
      </c>
      <c r="L2103" s="1">
        <f>'[2]Electricity and CHPs_NCAP'!H$30</f>
        <v>6.2201979072005303E-6</v>
      </c>
      <c r="N2103" s="1"/>
    </row>
    <row r="2104" spans="2:14" x14ac:dyDescent="0.35">
      <c r="B2104" s="5" t="str">
        <f t="shared" si="2093"/>
        <v>SPS1</v>
      </c>
      <c r="C2104" s="5" t="str">
        <f t="shared" si="2090"/>
        <v>CH</v>
      </c>
      <c r="D2104" t="s">
        <v>2233</v>
      </c>
      <c r="E2104" t="str">
        <f t="shared" si="2102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2.5278051881217999E-6</v>
      </c>
      <c r="K2104" s="1">
        <f>'[2]Electricity and CHPs_NCAP'!G$46</f>
        <v>7.8164276884456097E-4</v>
      </c>
      <c r="L2104" s="1">
        <f>'[2]Electricity and CHPs_NCAP'!H$46</f>
        <v>8.5274755486341794E-2</v>
      </c>
      <c r="N2104" s="1"/>
    </row>
    <row r="2105" spans="2:14" x14ac:dyDescent="0.35">
      <c r="B2105" s="5" t="str">
        <f t="shared" si="2093"/>
        <v>SPS1</v>
      </c>
      <c r="C2105" s="5" t="str">
        <f t="shared" si="2090"/>
        <v>CH</v>
      </c>
      <c r="D2105" t="s">
        <v>2234</v>
      </c>
      <c r="E2105" t="str">
        <f t="shared" si="2102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1.8940166033411298E-5</v>
      </c>
      <c r="K2105" s="1">
        <f>'[2]Electricity and CHPs_NCAP'!G$57</f>
        <v>1.11301699006455E-3</v>
      </c>
      <c r="L2105" s="1">
        <f>'[2]Electricity and CHPs_NCAP'!H$57</f>
        <v>8.5964401755557604E-4</v>
      </c>
      <c r="N2105" s="1"/>
    </row>
    <row r="2106" spans="2:14" x14ac:dyDescent="0.35">
      <c r="B2106" s="5" t="str">
        <f t="shared" si="2093"/>
        <v>SPS1</v>
      </c>
      <c r="C2106" s="5" t="str">
        <f t="shared" si="2090"/>
        <v>CH</v>
      </c>
      <c r="D2106" t="s">
        <v>2235</v>
      </c>
      <c r="E2106" t="str">
        <f t="shared" si="2102"/>
        <v>GWe/yr.</v>
      </c>
      <c r="F2106" s="1">
        <f t="shared" ref="F2106:K2106" si="2112">SUM(F2107:F2113)</f>
        <v>5.5006913507686973E-3</v>
      </c>
      <c r="G2106" s="1">
        <f t="shared" si="2112"/>
        <v>9.2887469431755478E-6</v>
      </c>
      <c r="H2106" s="1">
        <f t="shared" si="2112"/>
        <v>0.40626797303246753</v>
      </c>
      <c r="I2106" s="1">
        <f t="shared" si="2112"/>
        <v>0.2993390157968191</v>
      </c>
      <c r="J2106" s="1">
        <f t="shared" si="2112"/>
        <v>0.34779625167780104</v>
      </c>
      <c r="K2106" s="1">
        <f t="shared" si="2112"/>
        <v>1.2624806348960274</v>
      </c>
      <c r="L2106" s="1">
        <f t="shared" ref="L2106" si="2113">SUM(L2107:L2113)</f>
        <v>1.9787817911722301</v>
      </c>
      <c r="N2106" s="1"/>
    </row>
    <row r="2107" spans="2:14" x14ac:dyDescent="0.35">
      <c r="B2107" s="5" t="str">
        <f t="shared" si="2093"/>
        <v>SPS1</v>
      </c>
      <c r="C2107" s="5" t="str">
        <f t="shared" si="2090"/>
        <v>CH</v>
      </c>
      <c r="D2107" t="s">
        <v>2236</v>
      </c>
      <c r="E2107" t="str">
        <f t="shared" si="2102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8.3788021193380301E-8</v>
      </c>
      <c r="K2107" s="1">
        <f>'[2]Electricity and CHPs_NCAP'!G$63</f>
        <v>8.69779861847318E-8</v>
      </c>
      <c r="L2107" s="1">
        <f>'[2]Electricity and CHPs_NCAP'!H$63</f>
        <v>5.8030933606627097E-8</v>
      </c>
      <c r="N2107" s="1"/>
    </row>
    <row r="2108" spans="2:14" x14ac:dyDescent="0.35">
      <c r="B2108" s="5" t="str">
        <f t="shared" si="2093"/>
        <v>SPS1</v>
      </c>
      <c r="C2108" s="5" t="str">
        <f t="shared" si="2090"/>
        <v>CH</v>
      </c>
      <c r="D2108" t="s">
        <v>2237</v>
      </c>
      <c r="E2108" t="str">
        <f t="shared" si="2102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3.2706057988215097E-2</v>
      </c>
      <c r="K2108" s="1">
        <f>'[2]Electricity and CHPs_NCAP'!G$64</f>
        <v>0.48118838864084001</v>
      </c>
      <c r="L2108" s="1">
        <f>'[2]Electricity and CHPs_NCAP'!H$64</f>
        <v>0.83385725931821997</v>
      </c>
      <c r="N2108" s="1"/>
    </row>
    <row r="2109" spans="2:14" x14ac:dyDescent="0.35">
      <c r="B2109" s="5" t="str">
        <f t="shared" si="2093"/>
        <v>SPS1</v>
      </c>
      <c r="C2109" s="5" t="str">
        <f t="shared" si="2090"/>
        <v>CH</v>
      </c>
      <c r="D2109" t="s">
        <v>2238</v>
      </c>
      <c r="E2109" t="str">
        <f t="shared" si="2102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1.77938474637407E-2</v>
      </c>
      <c r="K2109" s="1">
        <f>'[2]Electricity and CHPs_NCAP'!G$65</f>
        <v>5.0650600659771297E-2</v>
      </c>
      <c r="L2109" s="1">
        <f>'[2]Electricity and CHPs_NCAP'!H$65</f>
        <v>0.17613269570496301</v>
      </c>
      <c r="N2109" s="1"/>
    </row>
    <row r="2110" spans="2:14" x14ac:dyDescent="0.35">
      <c r="B2110" s="5" t="str">
        <f t="shared" si="2093"/>
        <v>SPS1</v>
      </c>
      <c r="C2110" s="5" t="str">
        <f t="shared" si="2090"/>
        <v>CH</v>
      </c>
      <c r="D2110" t="s">
        <v>2239</v>
      </c>
      <c r="E2110" t="str">
        <f t="shared" si="2102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8.7048251475401406E-2</v>
      </c>
      <c r="K2110" s="1">
        <f>'[2]Electricity and CHPs_NCAP'!G$66</f>
        <v>0.157932376061728</v>
      </c>
      <c r="L2110" s="1">
        <f>'[2]Electricity and CHPs_NCAP'!H$66</f>
        <v>0.25217450412851899</v>
      </c>
      <c r="N2110" s="1"/>
    </row>
    <row r="2111" spans="2:14" x14ac:dyDescent="0.35">
      <c r="B2111" s="5" t="str">
        <f t="shared" si="2093"/>
        <v>SPS1</v>
      </c>
      <c r="C2111" s="5" t="str">
        <f t="shared" si="2090"/>
        <v>CH</v>
      </c>
      <c r="D2111" t="s">
        <v>2240</v>
      </c>
      <c r="E2111" t="str">
        <f t="shared" si="2102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0.1225174559551076</v>
      </c>
      <c r="K2111" s="1">
        <f>'[2]Electricity and CHPs_NCAP'!G$67</f>
        <v>0.24489105866520999</v>
      </c>
      <c r="L2111" s="1">
        <f>'[2]Electricity and CHPs_NCAP'!H$67</f>
        <v>0.336065300135721</v>
      </c>
      <c r="N2111" s="1"/>
    </row>
    <row r="2112" spans="2:14" x14ac:dyDescent="0.35">
      <c r="B2112" s="5" t="str">
        <f t="shared" si="2093"/>
        <v>SPS1</v>
      </c>
      <c r="C2112" s="5" t="str">
        <f t="shared" si="2090"/>
        <v>CH</v>
      </c>
      <c r="D2112" t="s">
        <v>2241</v>
      </c>
      <c r="E2112" t="str">
        <f t="shared" si="2102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9.5350181446453505E-3</v>
      </c>
      <c r="K2112" s="1">
        <f>'[2]Electricity and CHPs_NCAP'!G$68</f>
        <v>1.0280238362718741E-2</v>
      </c>
      <c r="L2112" s="1">
        <f>'[2]Electricity and CHPs_NCAP'!H$68</f>
        <v>1.7190629460701393E-2</v>
      </c>
      <c r="N2112" s="1"/>
    </row>
    <row r="2113" spans="2:14" x14ac:dyDescent="0.35">
      <c r="B2113" s="5" t="str">
        <f t="shared" si="2093"/>
        <v>SPS1</v>
      </c>
      <c r="C2113" s="5" t="str">
        <f t="shared" si="2090"/>
        <v>CH</v>
      </c>
      <c r="D2113" t="s">
        <v>2242</v>
      </c>
      <c r="E2113" t="str">
        <f t="shared" si="2102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7.8195536862669696E-2</v>
      </c>
      <c r="K2113" s="1">
        <f>'[2]Electricity and CHPs_NCAP'!G$69</f>
        <v>0.31753788552777301</v>
      </c>
      <c r="L2113" s="1">
        <f>'[2]Electricity and CHPs_NCAP'!H$69</f>
        <v>0.36336134439317203</v>
      </c>
      <c r="N2113" s="1"/>
    </row>
    <row r="2114" spans="2:14" x14ac:dyDescent="0.35">
      <c r="B2114" s="5" t="str">
        <f>SPS1_SOC_Mid!B1902</f>
        <v>SPS1</v>
      </c>
      <c r="C2114" s="5" t="str">
        <f>SPS1_SOC_Mid!C1902</f>
        <v>CH</v>
      </c>
      <c r="D2114" s="2" t="s">
        <v>2243</v>
      </c>
      <c r="E2114" s="2" t="s">
        <v>1972</v>
      </c>
      <c r="F2114" s="3">
        <f t="shared" ref="F2114:K2114" si="2114">SUM(F2115:F2164)</f>
        <v>4.1272284986538415E-4</v>
      </c>
      <c r="G2114" s="3">
        <f t="shared" si="2114"/>
        <v>0.48712436760804795</v>
      </c>
      <c r="H2114" s="3">
        <f t="shared" si="2114"/>
        <v>0.86029688175187147</v>
      </c>
      <c r="I2114" s="3">
        <f t="shared" si="2114"/>
        <v>2.0711021750660898</v>
      </c>
      <c r="J2114" s="3">
        <f t="shared" si="2114"/>
        <v>3.3283202488405266</v>
      </c>
      <c r="K2114" s="3">
        <f t="shared" si="2114"/>
        <v>2.3347091135636848</v>
      </c>
      <c r="L2114" s="3">
        <f t="shared" ref="L2114" si="2115">SUM(L2115:L2164)</f>
        <v>4.9583750925020293</v>
      </c>
      <c r="N2114" s="1"/>
    </row>
    <row r="2115" spans="2:14" x14ac:dyDescent="0.35">
      <c r="B2115" s="5" t="str">
        <f t="shared" ref="B2115:B2146" si="2116">B2114</f>
        <v>SPS1</v>
      </c>
      <c r="C2115" s="5" t="str">
        <f t="shared" ref="C2115:C2146" si="2117">C2114</f>
        <v>CH</v>
      </c>
      <c r="D2115" t="s">
        <v>2244</v>
      </c>
      <c r="E2115" t="str">
        <f t="shared" ref="E2115:E2146" si="2118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6"/>
        <v>SPS1</v>
      </c>
      <c r="C2116" s="5" t="str">
        <f t="shared" si="2117"/>
        <v>CH</v>
      </c>
      <c r="D2116" t="s">
        <v>2245</v>
      </c>
      <c r="E2116" t="str">
        <f t="shared" si="2118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0.197469468182358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0.159594498939375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0.320435129970292</v>
      </c>
      <c r="N2116" s="1"/>
    </row>
    <row r="2117" spans="2:14" x14ac:dyDescent="0.35">
      <c r="B2117" s="5" t="str">
        <f t="shared" si="2116"/>
        <v>SPS1</v>
      </c>
      <c r="C2117" s="5" t="str">
        <f t="shared" si="2117"/>
        <v>CH</v>
      </c>
      <c r="D2117" t="s">
        <v>2246</v>
      </c>
      <c r="E2117" t="str">
        <f t="shared" si="2118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1.23459090178229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0.81026291506109904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1.57810941620694</v>
      </c>
      <c r="N2117" s="1"/>
    </row>
    <row r="2118" spans="2:14" x14ac:dyDescent="0.35">
      <c r="B2118" s="5" t="str">
        <f t="shared" si="2116"/>
        <v>SPS1</v>
      </c>
      <c r="C2118" s="5" t="str">
        <f t="shared" si="2117"/>
        <v>CH</v>
      </c>
      <c r="D2118" t="s">
        <v>2247</v>
      </c>
      <c r="E2118" t="str">
        <f t="shared" si="2118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0.10323846904704399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0.44576929478074601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0.97748419288346799</v>
      </c>
      <c r="N2118" s="1"/>
    </row>
    <row r="2119" spans="2:14" x14ac:dyDescent="0.35">
      <c r="B2119" s="5" t="str">
        <f t="shared" si="2116"/>
        <v>SPS1</v>
      </c>
      <c r="C2119" s="5" t="str">
        <f t="shared" si="2117"/>
        <v>CH</v>
      </c>
      <c r="D2119" t="s">
        <v>2248</v>
      </c>
      <c r="E2119" t="str">
        <f t="shared" si="2118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1.0246510305940599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0.91908235877315303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2.0823462924281002</v>
      </c>
      <c r="N2119" s="1"/>
    </row>
    <row r="2120" spans="2:14" x14ac:dyDescent="0.35">
      <c r="B2120" s="5" t="str">
        <f t="shared" si="2116"/>
        <v>SPS1</v>
      </c>
      <c r="C2120" s="5" t="str">
        <f t="shared" si="2117"/>
        <v>CH</v>
      </c>
      <c r="D2120" t="s">
        <v>2249</v>
      </c>
      <c r="E2120" t="str">
        <f t="shared" si="2118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1.50145263929229E-5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6"/>
        <v>SPS1</v>
      </c>
      <c r="C2121" s="5" t="str">
        <f t="shared" si="2117"/>
        <v>CH</v>
      </c>
      <c r="D2121" t="s">
        <v>2250</v>
      </c>
      <c r="E2121" t="str">
        <f t="shared" si="2118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2.8942444748816498E-5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6"/>
        <v>SPS1</v>
      </c>
      <c r="C2122" s="5" t="str">
        <f t="shared" si="2117"/>
        <v>CH</v>
      </c>
      <c r="D2122" t="s">
        <v>2251</v>
      </c>
      <c r="E2122" t="str">
        <f t="shared" si="2118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0.44648961089185202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6"/>
        <v>SPS1</v>
      </c>
      <c r="C2123" s="5" t="str">
        <f t="shared" si="2117"/>
        <v>CH</v>
      </c>
      <c r="D2123" t="s">
        <v>2252</v>
      </c>
      <c r="E2123" t="str">
        <f t="shared" si="2118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3.0698721400737503E-5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6"/>
        <v>SPS1</v>
      </c>
      <c r="C2124" s="5" t="str">
        <f t="shared" si="2117"/>
        <v>CH</v>
      </c>
      <c r="D2124" t="s">
        <v>2253</v>
      </c>
      <c r="E2124" t="str">
        <f t="shared" si="2118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1.5382049491475099E-5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6"/>
        <v>SPS1</v>
      </c>
      <c r="C2125" s="5" t="str">
        <f t="shared" si="2117"/>
        <v>CH</v>
      </c>
      <c r="D2125" t="s">
        <v>2254</v>
      </c>
      <c r="E2125" t="str">
        <f t="shared" si="2118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3.2607455794907698E-5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6"/>
        <v>SPS1</v>
      </c>
      <c r="C2126" s="5" t="str">
        <f t="shared" si="2117"/>
        <v>CH</v>
      </c>
      <c r="D2126" t="s">
        <v>2255</v>
      </c>
      <c r="E2126" t="str">
        <f t="shared" si="2118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0.321724060019214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6"/>
        <v>SPS1</v>
      </c>
      <c r="C2127" s="5" t="str">
        <f t="shared" si="2117"/>
        <v>CH</v>
      </c>
      <c r="D2127" t="s">
        <v>2256</v>
      </c>
      <c r="E2127" t="str">
        <f t="shared" si="2118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3.4063125879166603E-5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6"/>
        <v>SPS1</v>
      </c>
      <c r="C2128" s="5" t="str">
        <f t="shared" si="2117"/>
        <v>CH</v>
      </c>
      <c r="D2128" t="s">
        <v>2257</v>
      </c>
      <c r="E2128" t="str">
        <f t="shared" si="2118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0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1.27728408086776E-8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1.5295026761656599E-8</v>
      </c>
      <c r="N2128" s="1"/>
    </row>
    <row r="2129" spans="2:14" x14ac:dyDescent="0.35">
      <c r="B2129" s="5" t="str">
        <f t="shared" si="2116"/>
        <v>SPS1</v>
      </c>
      <c r="C2129" s="5" t="str">
        <f t="shared" si="2117"/>
        <v>CH</v>
      </c>
      <c r="D2129" t="s">
        <v>2258</v>
      </c>
      <c r="E2129" t="str">
        <f t="shared" si="2118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0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1.15652315159321E-8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1.5330180921375501E-8</v>
      </c>
      <c r="N2129" s="1"/>
    </row>
    <row r="2130" spans="2:14" x14ac:dyDescent="0.35">
      <c r="B2130" s="5" t="str">
        <f t="shared" si="2116"/>
        <v>SPS1</v>
      </c>
      <c r="C2130" s="5" t="str">
        <f t="shared" si="2117"/>
        <v>CH</v>
      </c>
      <c r="D2130" t="s">
        <v>2259</v>
      </c>
      <c r="E2130" t="str">
        <f t="shared" si="2118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0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1.0631110775343299E-8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1.55374973787012E-8</v>
      </c>
      <c r="N2130" s="1"/>
    </row>
    <row r="2131" spans="2:14" x14ac:dyDescent="0.35">
      <c r="B2131" s="5" t="str">
        <f t="shared" si="2116"/>
        <v>SPS1</v>
      </c>
      <c r="C2131" s="5" t="str">
        <f t="shared" si="2117"/>
        <v>CH</v>
      </c>
      <c r="D2131" t="s">
        <v>2260</v>
      </c>
      <c r="E2131" t="str">
        <f t="shared" si="2118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0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1.10401288288368E-8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1.4850523988868901E-8</v>
      </c>
      <c r="N2131" s="1"/>
    </row>
    <row r="2132" spans="2:14" x14ac:dyDescent="0.35">
      <c r="B2132" s="5" t="str">
        <f t="shared" si="2116"/>
        <v>SPS1</v>
      </c>
      <c r="C2132" s="5" t="str">
        <f t="shared" si="2117"/>
        <v>CH</v>
      </c>
      <c r="D2132" t="s">
        <v>2261</v>
      </c>
      <c r="E2132" t="str">
        <f t="shared" si="2118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6"/>
        <v>SPS1</v>
      </c>
      <c r="C2133" s="5" t="str">
        <f t="shared" si="2117"/>
        <v>CH</v>
      </c>
      <c r="D2133" t="s">
        <v>2262</v>
      </c>
      <c r="E2133" t="str">
        <f t="shared" si="2118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6"/>
        <v>SPS1</v>
      </c>
      <c r="C2134" s="5" t="str">
        <f t="shared" si="2117"/>
        <v>CH</v>
      </c>
      <c r="D2134" t="s">
        <v>2263</v>
      </c>
      <c r="E2134" t="str">
        <f t="shared" si="2118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6"/>
        <v>SPS1</v>
      </c>
      <c r="C2135" s="5" t="str">
        <f t="shared" si="2117"/>
        <v>CH</v>
      </c>
      <c r="D2135" t="s">
        <v>2264</v>
      </c>
      <c r="E2135" t="str">
        <f t="shared" si="2118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6"/>
        <v>SPS1</v>
      </c>
      <c r="C2136" s="5" t="str">
        <f t="shared" si="2117"/>
        <v>CH</v>
      </c>
      <c r="D2136" t="s">
        <v>2265</v>
      </c>
      <c r="E2136" t="str">
        <f t="shared" si="2118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6"/>
        <v>SPS1</v>
      </c>
      <c r="C2137" s="5" t="str">
        <f t="shared" si="2117"/>
        <v>CH</v>
      </c>
      <c r="D2137" t="s">
        <v>2266</v>
      </c>
      <c r="E2137" t="str">
        <f t="shared" si="2118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6"/>
        <v>SPS1</v>
      </c>
      <c r="C2138" s="5" t="str">
        <f t="shared" si="2117"/>
        <v>CH</v>
      </c>
      <c r="D2138" t="s">
        <v>2267</v>
      </c>
      <c r="E2138" t="str">
        <f t="shared" si="2118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6"/>
        <v>SPS1</v>
      </c>
      <c r="C2139" s="5" t="str">
        <f t="shared" si="2117"/>
        <v>CH</v>
      </c>
      <c r="D2139" t="s">
        <v>2268</v>
      </c>
      <c r="E2139" t="str">
        <f t="shared" si="2118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6"/>
        <v>SPS1</v>
      </c>
      <c r="C2140" s="5" t="str">
        <f t="shared" si="2117"/>
        <v>CH</v>
      </c>
      <c r="D2140" t="s">
        <v>2269</v>
      </c>
      <c r="E2140" t="str">
        <f t="shared" si="2118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6"/>
        <v>SPS1</v>
      </c>
      <c r="C2141" s="5" t="str">
        <f t="shared" si="2117"/>
        <v>CH</v>
      </c>
      <c r="D2141" t="s">
        <v>2270</v>
      </c>
      <c r="E2141" t="str">
        <f t="shared" si="2118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6"/>
        <v>SPS1</v>
      </c>
      <c r="C2142" s="5" t="str">
        <f t="shared" si="2117"/>
        <v>CH</v>
      </c>
      <c r="D2142" t="s">
        <v>2271</v>
      </c>
      <c r="E2142" t="str">
        <f t="shared" si="2118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6"/>
        <v>SPS1</v>
      </c>
      <c r="C2143" s="5" t="str">
        <f t="shared" si="2117"/>
        <v>CH</v>
      </c>
      <c r="D2143" t="s">
        <v>2272</v>
      </c>
      <c r="E2143" t="str">
        <f t="shared" si="2118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6"/>
        <v>SPS1</v>
      </c>
      <c r="C2144" s="5" t="str">
        <f t="shared" si="2117"/>
        <v>CH</v>
      </c>
      <c r="D2144" t="s">
        <v>2273</v>
      </c>
      <c r="E2144" t="str">
        <f t="shared" si="2118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6"/>
        <v>SPS1</v>
      </c>
      <c r="C2145" s="5" t="str">
        <f t="shared" si="2117"/>
        <v>CH</v>
      </c>
      <c r="D2145" t="s">
        <v>2274</v>
      </c>
      <c r="E2145" t="str">
        <f t="shared" si="2118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6"/>
        <v>SPS1</v>
      </c>
      <c r="C2146" s="5" t="str">
        <f t="shared" si="2117"/>
        <v>CH</v>
      </c>
      <c r="D2146" t="s">
        <v>2275</v>
      </c>
      <c r="E2146" t="str">
        <f t="shared" si="2118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9">B2146</f>
        <v>SPS1</v>
      </c>
      <c r="C2147" s="5" t="str">
        <f t="shared" ref="C2147:C2164" si="2120">C2146</f>
        <v>CH</v>
      </c>
      <c r="D2147" t="s">
        <v>2276</v>
      </c>
      <c r="E2147" t="str">
        <f t="shared" ref="E2147:E2164" si="2121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9"/>
        <v>SPS1</v>
      </c>
      <c r="C2148" s="5" t="str">
        <f t="shared" si="2120"/>
        <v>CH</v>
      </c>
      <c r="D2148" t="s">
        <v>2277</v>
      </c>
      <c r="E2148" t="str">
        <f t="shared" si="2121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9"/>
        <v>SPS1</v>
      </c>
      <c r="C2149" s="5" t="str">
        <f t="shared" si="2120"/>
        <v>CH</v>
      </c>
      <c r="D2149" t="s">
        <v>2278</v>
      </c>
      <c r="E2149" t="str">
        <f t="shared" si="2121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9"/>
        <v>SPS1</v>
      </c>
      <c r="C2150" s="5" t="str">
        <f t="shared" si="2120"/>
        <v>CH</v>
      </c>
      <c r="D2150" t="s">
        <v>2279</v>
      </c>
      <c r="E2150" t="str">
        <f t="shared" si="2121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9"/>
        <v>SPS1</v>
      </c>
      <c r="C2151" s="5" t="str">
        <f t="shared" si="2120"/>
        <v>CH</v>
      </c>
      <c r="D2151" t="s">
        <v>2280</v>
      </c>
      <c r="E2151" t="str">
        <f t="shared" si="2121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9"/>
        <v>SPS1</v>
      </c>
      <c r="C2152" s="5" t="str">
        <f t="shared" si="2120"/>
        <v>CH</v>
      </c>
      <c r="D2152" t="s">
        <v>2281</v>
      </c>
      <c r="E2152" t="str">
        <f t="shared" si="2121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9"/>
        <v>SPS1</v>
      </c>
      <c r="C2153" s="5" t="str">
        <f t="shared" si="2120"/>
        <v>CH</v>
      </c>
      <c r="D2153" t="s">
        <v>2282</v>
      </c>
      <c r="E2153" t="str">
        <f t="shared" si="2121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9"/>
        <v>SPS1</v>
      </c>
      <c r="C2154" s="5" t="str">
        <f t="shared" si="2120"/>
        <v>CH</v>
      </c>
      <c r="D2154" t="s">
        <v>2283</v>
      </c>
      <c r="E2154" t="str">
        <f t="shared" si="2121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9"/>
        <v>SPS1</v>
      </c>
      <c r="C2155" s="5" t="str">
        <f t="shared" si="2120"/>
        <v>CH</v>
      </c>
      <c r="D2155" t="s">
        <v>2284</v>
      </c>
      <c r="E2155" t="str">
        <f t="shared" si="2121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9"/>
        <v>SPS1</v>
      </c>
      <c r="C2156" s="5" t="str">
        <f t="shared" si="2120"/>
        <v>CH</v>
      </c>
      <c r="D2156" t="s">
        <v>2285</v>
      </c>
      <c r="E2156" t="str">
        <f t="shared" si="2121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9"/>
        <v>SPS1</v>
      </c>
      <c r="C2157" s="5" t="str">
        <f t="shared" si="2120"/>
        <v>CH</v>
      </c>
      <c r="D2157" t="s">
        <v>2286</v>
      </c>
      <c r="E2157" t="str">
        <f t="shared" si="2121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9"/>
        <v>SPS1</v>
      </c>
      <c r="C2158" s="5" t="str">
        <f t="shared" si="2120"/>
        <v>CH</v>
      </c>
      <c r="D2158" t="s">
        <v>2287</v>
      </c>
      <c r="E2158" t="str">
        <f t="shared" si="2121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9"/>
        <v>SPS1</v>
      </c>
      <c r="C2159" s="5" t="str">
        <f t="shared" si="2120"/>
        <v>CH</v>
      </c>
      <c r="D2159" t="s">
        <v>2288</v>
      </c>
      <c r="E2159" t="str">
        <f t="shared" si="2121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9"/>
        <v>SPS1</v>
      </c>
      <c r="C2160" s="5" t="str">
        <f t="shared" si="2120"/>
        <v>CH</v>
      </c>
      <c r="D2160" t="s">
        <v>2289</v>
      </c>
      <c r="E2160" t="str">
        <f t="shared" si="2121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9"/>
        <v>SPS1</v>
      </c>
      <c r="C2161" s="5" t="str">
        <f t="shared" si="2120"/>
        <v>CH</v>
      </c>
      <c r="D2161" t="s">
        <v>2290</v>
      </c>
      <c r="E2161" t="str">
        <f t="shared" si="2121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9"/>
        <v>SPS1</v>
      </c>
      <c r="C2162" s="5" t="str">
        <f t="shared" si="2120"/>
        <v>CH</v>
      </c>
      <c r="D2162" t="s">
        <v>2291</v>
      </c>
      <c r="E2162" t="str">
        <f t="shared" si="2121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9"/>
        <v>SPS1</v>
      </c>
      <c r="C2163" s="5" t="str">
        <f t="shared" si="2120"/>
        <v>CH</v>
      </c>
      <c r="D2163" t="s">
        <v>2292</v>
      </c>
      <c r="E2163" t="str">
        <f t="shared" si="2121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9"/>
        <v>SPS1</v>
      </c>
      <c r="C2164" s="5" t="str">
        <f t="shared" si="2120"/>
        <v>CH</v>
      </c>
      <c r="D2164" t="s">
        <v>2293</v>
      </c>
      <c r="E2164" t="str">
        <f t="shared" si="2121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SPS1_SOC_Mid!B1953</f>
        <v>SPS1</v>
      </c>
      <c r="C2165" s="5" t="str">
        <f>SPS1_SOC_Mid!C1953</f>
        <v>CH</v>
      </c>
      <c r="D2165" s="2" t="s">
        <v>2294</v>
      </c>
      <c r="E2165" s="2" t="s">
        <v>1999</v>
      </c>
      <c r="F2165" s="3">
        <f t="shared" ref="F2165:K2165" si="2122">SUM(F2166:F2188)</f>
        <v>0</v>
      </c>
      <c r="G2165" s="3">
        <f t="shared" si="2122"/>
        <v>0.7038877527547962</v>
      </c>
      <c r="H2165" s="3">
        <f t="shared" si="2122"/>
        <v>1.5534332643385114</v>
      </c>
      <c r="I2165" s="3">
        <f t="shared" si="2122"/>
        <v>6.6471518197585304</v>
      </c>
      <c r="J2165" s="3">
        <f t="shared" si="2122"/>
        <v>5.115797199773052</v>
      </c>
      <c r="K2165" s="3">
        <f t="shared" si="2122"/>
        <v>3.0771427083467509</v>
      </c>
      <c r="L2165" s="3">
        <f t="shared" ref="L2165" si="2123">SUM(L2166:L2188)</f>
        <v>6.2333514330571536</v>
      </c>
      <c r="N2165" s="1"/>
    </row>
    <row r="2166" spans="2:14" x14ac:dyDescent="0.35">
      <c r="B2166" s="5" t="str">
        <f t="shared" ref="B2166:B2197" si="2124">B2165</f>
        <v>SPS1</v>
      </c>
      <c r="C2166" s="5" t="str">
        <f t="shared" ref="C2166:C2197" si="2125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4"/>
        <v>SPS1</v>
      </c>
      <c r="C2167" s="5" t="str">
        <f t="shared" si="2125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2.32107504757438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7.1912661960279595E-2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1.9284047749325199</v>
      </c>
      <c r="N2167" s="1"/>
    </row>
    <row r="2168" spans="2:14" x14ac:dyDescent="0.35">
      <c r="B2168" s="5" t="str">
        <f t="shared" si="2124"/>
        <v>SPS1</v>
      </c>
      <c r="C2168" s="5" t="str">
        <f t="shared" si="2125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0.75233975013910404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0.12353832214354499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0.75803271459742794</v>
      </c>
      <c r="N2168" s="1"/>
    </row>
    <row r="2169" spans="2:14" x14ac:dyDescent="0.35">
      <c r="B2169" s="5" t="str">
        <f t="shared" si="2124"/>
        <v>SPS1</v>
      </c>
      <c r="C2169" s="5" t="str">
        <f t="shared" si="2125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2.02614062707356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1.7905818133416802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3.5468950595171598</v>
      </c>
      <c r="N2169" s="1"/>
    </row>
    <row r="2170" spans="2:14" x14ac:dyDescent="0.35">
      <c r="B2170" s="5" t="str">
        <f t="shared" si="2124"/>
        <v>SPS1</v>
      </c>
      <c r="C2170" s="5" t="str">
        <f t="shared" si="2125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4.57019784854264E-5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4.44799229294731E-5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1.8884010046355699E-5</v>
      </c>
      <c r="N2170" s="1"/>
    </row>
    <row r="2171" spans="2:14" x14ac:dyDescent="0.35">
      <c r="B2171" s="5" t="str">
        <f t="shared" si="2124"/>
        <v>SPS1</v>
      </c>
      <c r="C2171" s="5" t="str">
        <f t="shared" si="2125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4"/>
        <v>SPS1</v>
      </c>
      <c r="C2172" s="5" t="str">
        <f t="shared" si="2125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4"/>
        <v>SPS1</v>
      </c>
      <c r="C2173" s="5" t="str">
        <f t="shared" si="2125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4"/>
        <v>SPS1</v>
      </c>
      <c r="C2174" s="5" t="str">
        <f t="shared" si="2125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4"/>
        <v>SPS1</v>
      </c>
      <c r="C2175" s="5" t="str">
        <f t="shared" si="2125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0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24"/>
        <v>SPS1</v>
      </c>
      <c r="C2176" s="5" t="str">
        <f t="shared" si="2125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0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24"/>
        <v>SPS1</v>
      </c>
      <c r="C2177" s="5" t="str">
        <f t="shared" si="2125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24"/>
        <v>SPS1</v>
      </c>
      <c r="C2178" s="5" t="str">
        <f t="shared" si="2125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24"/>
        <v>SPS1</v>
      </c>
      <c r="C2179" s="5" t="str">
        <f t="shared" si="2125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4"/>
        <v>SPS1</v>
      </c>
      <c r="C2180" s="5" t="str">
        <f t="shared" si="2125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4.0258831823840698E-4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1.0845991157763799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24"/>
        <v>SPS1</v>
      </c>
      <c r="C2181" s="5" t="str">
        <f t="shared" si="2125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2.35984620278804E-4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5.05496088291742E-4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24"/>
        <v>SPS1</v>
      </c>
      <c r="C2182" s="5" t="str">
        <f t="shared" si="2125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3.1194729388788698E-4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2.7311842031154197E-3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24"/>
        <v>SPS1</v>
      </c>
      <c r="C2183" s="5" t="str">
        <f t="shared" si="2125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1.26449580832795E-5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1.25570912261466E-5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4"/>
        <v>SPS1</v>
      </c>
      <c r="C2184" s="5" t="str">
        <f t="shared" si="2125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4"/>
        <v>SPS1</v>
      </c>
      <c r="C2185" s="5" t="str">
        <f t="shared" si="2125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2.63780649703546E-3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2.3576703451826401E-4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24"/>
        <v>SPS1</v>
      </c>
      <c r="C2186" s="5" t="str">
        <f t="shared" si="2125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1.91300050821522E-4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2.15415208567831E-4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24"/>
        <v>SPS1</v>
      </c>
      <c r="C2187" s="5" t="str">
        <f t="shared" si="2125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1.2390774716906699E-2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2.75382430668316E-3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24"/>
        <v>SPS1</v>
      </c>
      <c r="C2188" s="5" t="str">
        <f t="shared" si="2125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1.30265522704311E-5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1.2071269534514599E-5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4"/>
        <v>SPS1</v>
      </c>
      <c r="C2189" s="5" t="str">
        <f t="shared" si="2125"/>
        <v>CH</v>
      </c>
      <c r="D2189" s="2" t="s">
        <v>2318</v>
      </c>
      <c r="E2189" s="2" t="s">
        <v>1999</v>
      </c>
      <c r="F2189" s="3">
        <f t="shared" ref="F2189:K2189" si="2126">SUM(F2190:F2212)</f>
        <v>0</v>
      </c>
      <c r="G2189" s="3">
        <f t="shared" si="2126"/>
        <v>0.50663117536639746</v>
      </c>
      <c r="H2189" s="3">
        <f t="shared" si="2126"/>
        <v>0.21217408120048104</v>
      </c>
      <c r="I2189" s="3">
        <f t="shared" si="2126"/>
        <v>2.9222567548787128</v>
      </c>
      <c r="J2189" s="3">
        <f t="shared" si="2126"/>
        <v>2.2164388876078869</v>
      </c>
      <c r="K2189" s="3">
        <f t="shared" si="2126"/>
        <v>0.61032005637434972</v>
      </c>
      <c r="L2189" s="3">
        <f t="shared" ref="L2189" si="2127">SUM(L2190:L2212)</f>
        <v>2.2000152734605343</v>
      </c>
      <c r="N2189" s="1"/>
    </row>
    <row r="2190" spans="2:14" x14ac:dyDescent="0.35">
      <c r="B2190" s="5" t="str">
        <f t="shared" si="2124"/>
        <v>SPS1</v>
      </c>
      <c r="C2190" s="5" t="str">
        <f t="shared" si="2125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4"/>
        <v>SPS1</v>
      </c>
      <c r="C2191" s="5" t="str">
        <f t="shared" si="2125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1.39758593626951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2.94234642551423E-3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1.12169125917297</v>
      </c>
      <c r="N2191" s="1"/>
    </row>
    <row r="2192" spans="2:14" x14ac:dyDescent="0.35">
      <c r="B2192" s="5" t="str">
        <f t="shared" si="2124"/>
        <v>SPS1</v>
      </c>
      <c r="C2192" s="5" t="str">
        <f t="shared" si="2125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0.67619352124907905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0.47005969673706904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0.86149614693646603</v>
      </c>
      <c r="N2192" s="1"/>
    </row>
    <row r="2193" spans="2:14" x14ac:dyDescent="0.35">
      <c r="B2193" s="5" t="str">
        <f t="shared" si="2124"/>
        <v>SPS1</v>
      </c>
      <c r="C2193" s="5" t="str">
        <f t="shared" si="2125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8.0690622144311608E-2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2.02703784403693E-3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0.21680923742104499</v>
      </c>
      <c r="N2193" s="1"/>
    </row>
    <row r="2194" spans="2:14" x14ac:dyDescent="0.35">
      <c r="B2194" s="5" t="str">
        <f t="shared" si="2124"/>
        <v>SPS1</v>
      </c>
      <c r="C2194" s="5" t="str">
        <f t="shared" si="2125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4.4608699474805798E-5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4.6734422719131099E-5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1.8629930053116499E-5</v>
      </c>
      <c r="N2194" s="1"/>
    </row>
    <row r="2195" spans="2:14" x14ac:dyDescent="0.35">
      <c r="B2195" s="5" t="str">
        <f t="shared" si="2124"/>
        <v>SPS1</v>
      </c>
      <c r="C2195" s="5" t="str">
        <f t="shared" si="2125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4"/>
        <v>SPS1</v>
      </c>
      <c r="C2196" s="5" t="str">
        <f t="shared" si="2125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4"/>
        <v>SPS1</v>
      </c>
      <c r="C2197" s="5" t="str">
        <f t="shared" si="2125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8">B2197</f>
        <v>SPS1</v>
      </c>
      <c r="C2198" s="5" t="str">
        <f t="shared" ref="C2198:C2232" si="2129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8"/>
        <v>SPS1</v>
      </c>
      <c r="C2199" s="5" t="str">
        <f t="shared" si="2129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28"/>
        <v>SPS1</v>
      </c>
      <c r="C2200" s="5" t="str">
        <f t="shared" si="2129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28"/>
        <v>SPS1</v>
      </c>
      <c r="C2201" s="5" t="str">
        <f t="shared" si="2129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28"/>
        <v>SPS1</v>
      </c>
      <c r="C2202" s="5" t="str">
        <f t="shared" si="2129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8"/>
        <v>SPS1</v>
      </c>
      <c r="C2203" s="5" t="str">
        <f t="shared" si="2129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8"/>
        <v>SPS1</v>
      </c>
      <c r="C2204" s="5" t="str">
        <f t="shared" si="2129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7.0331358247049404E-4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7.6055171377869902E-3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8"/>
        <v>SPS1</v>
      </c>
      <c r="C2205" s="5" t="str">
        <f t="shared" si="2129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4.1094272204630396E-4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2.00343011951619E-3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8"/>
        <v>SPS1</v>
      </c>
      <c r="C2206" s="5" t="str">
        <f t="shared" si="2129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5.4289404245192095E-2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0.12454187342737601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8"/>
        <v>SPS1</v>
      </c>
      <c r="C2207" s="5" t="str">
        <f t="shared" si="2129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1.4608071682064E-5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1.5723777570736103E-5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8"/>
        <v>SPS1</v>
      </c>
      <c r="C2208" s="5" t="str">
        <f t="shared" si="2129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8"/>
        <v>SPS1</v>
      </c>
      <c r="C2209" s="5" t="str">
        <f t="shared" si="2129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8.8198149745953895E-4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2.2478368132736301E-4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8"/>
        <v>SPS1</v>
      </c>
      <c r="C2210" s="5" t="str">
        <f t="shared" si="2129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2.1356227895504701E-4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3.1855061086279499E-4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8"/>
        <v>SPS1</v>
      </c>
      <c r="C2211" s="5" t="str">
        <f t="shared" si="2129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5.3962730973617697E-3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5.2054672425464593E-4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8"/>
        <v>SPS1</v>
      </c>
      <c r="C2212" s="5" t="str">
        <f t="shared" si="2129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1.4113750343806801E-5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1.3815466315613199E-5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8"/>
        <v>SPS1</v>
      </c>
      <c r="C2213" s="5" t="str">
        <f t="shared" si="2129"/>
        <v>CH</v>
      </c>
      <c r="D2213" s="2" t="s">
        <v>2342</v>
      </c>
      <c r="E2213" s="2" t="s">
        <v>1999</v>
      </c>
      <c r="F2213" s="3">
        <f t="shared" ref="F2213:K2213" si="2130">SUM(F2214:F2222)</f>
        <v>2.73466608945662E-4</v>
      </c>
      <c r="G2213" s="3">
        <f t="shared" si="2130"/>
        <v>15.040961010419007</v>
      </c>
      <c r="H2213" s="3">
        <f t="shared" si="2130"/>
        <v>63.150362693949972</v>
      </c>
      <c r="I2213" s="3">
        <f t="shared" si="2130"/>
        <v>170.20462945068985</v>
      </c>
      <c r="J2213" s="3">
        <f t="shared" si="2130"/>
        <v>244.73023617535401</v>
      </c>
      <c r="K2213" s="3">
        <f t="shared" si="2130"/>
        <v>198.82521450348699</v>
      </c>
      <c r="L2213" s="3">
        <f t="shared" ref="L2213" si="2131">SUM(L2214:L2222)</f>
        <v>371.13453007198098</v>
      </c>
      <c r="N2213" s="1"/>
    </row>
    <row r="2214" spans="2:14" x14ac:dyDescent="0.35">
      <c r="B2214" s="5" t="str">
        <f t="shared" si="2128"/>
        <v>SPS1</v>
      </c>
      <c r="C2214" s="5" t="str">
        <f t="shared" si="2129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8"/>
        <v>SPS1</v>
      </c>
      <c r="C2215" s="5" t="str">
        <f t="shared" si="2129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244.73023617535401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198.82521450348699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371.13453007198098</v>
      </c>
      <c r="N2215" s="1"/>
    </row>
    <row r="2216" spans="2:14" x14ac:dyDescent="0.35">
      <c r="B2216" s="5" t="str">
        <f t="shared" si="2128"/>
        <v>SPS1</v>
      </c>
      <c r="C2216" s="5" t="str">
        <f t="shared" si="2129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0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0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0</v>
      </c>
      <c r="N2216" s="1"/>
    </row>
    <row r="2217" spans="2:14" x14ac:dyDescent="0.35">
      <c r="B2217" s="5" t="str">
        <f t="shared" si="2128"/>
        <v>SPS1</v>
      </c>
      <c r="C2217" s="5" t="str">
        <f t="shared" si="2129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8"/>
        <v>SPS1</v>
      </c>
      <c r="C2218" s="5" t="str">
        <f t="shared" si="2129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8"/>
        <v>SPS1</v>
      </c>
      <c r="C2219" s="5" t="str">
        <f t="shared" si="2129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8"/>
        <v>SPS1</v>
      </c>
      <c r="C2220" s="5" t="str">
        <f t="shared" si="2129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28"/>
        <v>SPS1</v>
      </c>
      <c r="C2221" s="5" t="str">
        <f t="shared" si="2129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28"/>
        <v>SPS1</v>
      </c>
      <c r="C2222" s="5" t="str">
        <f t="shared" si="2129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28"/>
        <v>SPS1</v>
      </c>
      <c r="C2223" s="5" t="str">
        <f t="shared" si="2129"/>
        <v>CH</v>
      </c>
      <c r="D2223" s="2" t="s">
        <v>2352</v>
      </c>
      <c r="E2223" s="2" t="s">
        <v>1999</v>
      </c>
      <c r="F2223" s="3">
        <f t="shared" ref="F2223:K2223" si="2132">SUM(F2224:F2232)</f>
        <v>0</v>
      </c>
      <c r="G2223" s="3">
        <f t="shared" si="2132"/>
        <v>6.4184767339014961</v>
      </c>
      <c r="H2223" s="3">
        <f t="shared" si="2132"/>
        <v>7.4391492296818784</v>
      </c>
      <c r="I2223" s="3">
        <f t="shared" si="2132"/>
        <v>27.016031562041277</v>
      </c>
      <c r="J2223" s="3">
        <f t="shared" si="2132"/>
        <v>40.627425800510736</v>
      </c>
      <c r="K2223" s="3">
        <f t="shared" si="2132"/>
        <v>22.214524261754015</v>
      </c>
      <c r="L2223" s="3">
        <f t="shared" ref="L2223" si="2133">SUM(L2224:L2232)</f>
        <v>50.202870609327299</v>
      </c>
      <c r="M2223" s="3"/>
      <c r="N2223" s="1"/>
    </row>
    <row r="2224" spans="2:14" x14ac:dyDescent="0.35">
      <c r="B2224" s="5" t="str">
        <f t="shared" si="2128"/>
        <v>SPS1</v>
      </c>
      <c r="C2224" s="5" t="str">
        <f t="shared" si="2129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8"/>
        <v>SPS1</v>
      </c>
      <c r="C2225" s="5" t="str">
        <f t="shared" si="2129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8.46785062988838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10.003636393956299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50.202870609327299</v>
      </c>
      <c r="N2225" s="1"/>
    </row>
    <row r="2226" spans="2:14" x14ac:dyDescent="0.35">
      <c r="B2226" s="5" t="str">
        <f t="shared" si="2128"/>
        <v>SPS1</v>
      </c>
      <c r="C2226" s="5" t="str">
        <f t="shared" si="2129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0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0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0</v>
      </c>
      <c r="N2226" s="1"/>
    </row>
    <row r="2227" spans="2:14" x14ac:dyDescent="0.35">
      <c r="B2227" s="5" t="str">
        <f t="shared" si="2128"/>
        <v>SPS1</v>
      </c>
      <c r="C2227" s="5" t="str">
        <f t="shared" si="2129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8"/>
        <v>SPS1</v>
      </c>
      <c r="C2228" s="5" t="str">
        <f t="shared" si="2129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8"/>
        <v>SPS1</v>
      </c>
      <c r="C2229" s="5" t="str">
        <f t="shared" si="2129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8"/>
        <v>SPS1</v>
      </c>
      <c r="C2230" s="5" t="str">
        <f t="shared" si="2129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1.8149726239081998E-4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2.0351723536558201E-4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28"/>
        <v>SPS1</v>
      </c>
      <c r="C2231" s="5" t="str">
        <f t="shared" si="2129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32.057449928772996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12.158310391765299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28"/>
        <v>SPS1</v>
      </c>
      <c r="C2232" s="5" t="str">
        <f t="shared" si="2129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0.10194374458696899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5.23739587970522E-2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SPS1_SOC_Mid!B1822</f>
        <v>SPS1</v>
      </c>
      <c r="C2233" s="5" t="str">
        <f>SPS1_SOC_Mid!C1822</f>
        <v>CH</v>
      </c>
      <c r="D2233" s="2" t="s">
        <v>2367</v>
      </c>
      <c r="E2233" s="2" t="s">
        <v>1858</v>
      </c>
      <c r="F2233" s="3">
        <f t="shared" ref="F2233:K2233" si="2134">SUM(F2234,F2253)</f>
        <v>4.1464277385925388E-5</v>
      </c>
      <c r="G2233" s="3">
        <f t="shared" si="2134"/>
        <v>0.71484380959482685</v>
      </c>
      <c r="H2233" s="3">
        <f t="shared" si="2134"/>
        <v>1.6727777642331385</v>
      </c>
      <c r="I2233" s="3">
        <f t="shared" si="2134"/>
        <v>1.7900211811884976</v>
      </c>
      <c r="J2233" s="3">
        <f t="shared" si="2134"/>
        <v>3.5705477257864806</v>
      </c>
      <c r="K2233" s="3">
        <f t="shared" si="2134"/>
        <v>4.3627131080291441</v>
      </c>
      <c r="L2233" s="3">
        <f t="shared" ref="L2233" si="2135">SUM(L2234,L2253)</f>
        <v>4.5211568423021244</v>
      </c>
      <c r="N2233" s="1"/>
    </row>
    <row r="2234" spans="2:14" x14ac:dyDescent="0.35">
      <c r="B2234" s="5" t="str">
        <f>SPS1_SOC_Mid!B1822</f>
        <v>SPS1</v>
      </c>
      <c r="C2234" s="5" t="str">
        <f>SPS1_SOC_Mid!C1822</f>
        <v>CH</v>
      </c>
      <c r="D2234" t="s">
        <v>2368</v>
      </c>
      <c r="E2234" t="str">
        <f>E2233</f>
        <v>GWth/yr.</v>
      </c>
      <c r="F2234" s="1">
        <f t="shared" ref="F2234:K2234" si="2136">SUM(F2235,F2238,F2240,F2243,F2245,F2247,F2249,F2251)</f>
        <v>2.9333837970727776E-5</v>
      </c>
      <c r="G2234" s="1">
        <f t="shared" si="2136"/>
        <v>0.55826176524624338</v>
      </c>
      <c r="H2234" s="1">
        <f t="shared" si="2136"/>
        <v>1.4817732720457242</v>
      </c>
      <c r="I2234" s="1">
        <f t="shared" si="2136"/>
        <v>1.4379087627944811</v>
      </c>
      <c r="J2234" s="1">
        <f t="shared" si="2136"/>
        <v>2.6343242669116558</v>
      </c>
      <c r="K2234" s="1">
        <f t="shared" si="2136"/>
        <v>3.3921373574113067</v>
      </c>
      <c r="L2234" s="1">
        <f t="shared" ref="L2234" si="2137">SUM(L2235,L2238,L2240,L2243,L2245,L2247,L2249,L2251)</f>
        <v>3.1939550379105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8">SUM(F2236:F2237)</f>
        <v>1.6339418181519863E-6</v>
      </c>
      <c r="G2235" s="1">
        <f t="shared" si="2138"/>
        <v>0.27086499831067951</v>
      </c>
      <c r="H2235" s="1">
        <f t="shared" si="2138"/>
        <v>0.96749269044140696</v>
      </c>
      <c r="I2235" s="1">
        <f t="shared" si="2138"/>
        <v>1.2998472405197004</v>
      </c>
      <c r="J2235" s="1">
        <f t="shared" si="2138"/>
        <v>1.9132230677975923</v>
      </c>
      <c r="K2235" s="1">
        <f t="shared" si="2138"/>
        <v>2.4001464853369376</v>
      </c>
      <c r="L2235" s="1">
        <f t="shared" ref="L2235" si="2139">SUM(L2236:L2237)</f>
        <v>2.8710243313328898</v>
      </c>
      <c r="N2235" s="1"/>
    </row>
    <row r="2236" spans="2:14" x14ac:dyDescent="0.35">
      <c r="B2236" s="5" t="str">
        <f t="shared" ref="B2236:B2267" si="2140">B2235</f>
        <v>SPS1</v>
      </c>
      <c r="C2236" s="5" t="str">
        <f t="shared" ref="C2236:C2267" si="2141">C2235</f>
        <v>CH</v>
      </c>
      <c r="D2236" t="s">
        <v>2370</v>
      </c>
      <c r="E2236" t="str">
        <f t="shared" ref="E2236:E2267" si="2142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2.3123658980083424E-3</v>
      </c>
      <c r="K2236" s="1" cm="1">
        <f t="array" ref="K2236">SUMPRODUCT(([2]OUT_FinalEnergyCons!$B$4:$B$10000="var_ncap")*1,(ISNUMBER(SEARCH("RH*-SHELCBR",[2]OUT_FinalEnergyCons!$A$4:$A$10000)))*1,[2]OUT_FinalEnergyCons!I$4:I$10000)</f>
        <v>4.2909839924880604E-4</v>
      </c>
      <c r="L2236" s="1" cm="1">
        <f t="array" ref="L2236">SUMPRODUCT(([2]OUT_FinalEnergyCons!$B$4:$B$10000="var_ncap")*1,(ISNUMBER(SEARCH("RH*-SHELCBR",[2]OUT_FinalEnergyCons!$A$4:$A$10000)))*1,[2]OUT_FinalEnergyCons!J$4:J$10000)</f>
        <v>1.81868004464104E-7</v>
      </c>
      <c r="N2236" s="1"/>
    </row>
    <row r="2237" spans="2:14" x14ac:dyDescent="0.35">
      <c r="B2237" s="5" t="str">
        <f t="shared" si="2140"/>
        <v>SPS1</v>
      </c>
      <c r="C2237" s="5" t="str">
        <f t="shared" si="2141"/>
        <v>CH</v>
      </c>
      <c r="D2237" t="s">
        <v>2371</v>
      </c>
      <c r="E2237" t="str">
        <f t="shared" si="2142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1.9109107018995839</v>
      </c>
      <c r="K2237" s="1" cm="1">
        <f t="array" ref="K2237">SUMPRODUCT(([2]OUT_FinalEnergyCons!$B$4:$B$10000="var_ncap")*1,ISNUMBER(SEARCH("RH*-SHELCHP",[2]OUT_FinalEnergyCons!$A$4:$A$10000))*1,[2]OUT_FinalEnergyCons!I$4:I$10000)</f>
        <v>2.3997173869376889</v>
      </c>
      <c r="L2237" s="1" cm="1">
        <f t="array" ref="L2237">SUMPRODUCT(([2]OUT_FinalEnergyCons!$B$4:$B$10000="var_ncap")*1,ISNUMBER(SEARCH("RH*-SHELCHP",[2]OUT_FinalEnergyCons!$A$4:$A$10000))*1,[2]OUT_FinalEnergyCons!J$4:J$10000)</f>
        <v>2.8710241494648852</v>
      </c>
      <c r="N2237" s="1"/>
    </row>
    <row r="2238" spans="2:14" x14ac:dyDescent="0.35">
      <c r="B2238" s="5" t="str">
        <f t="shared" si="2140"/>
        <v>SPS1</v>
      </c>
      <c r="C2238" s="5" t="str">
        <f t="shared" si="2141"/>
        <v>CH</v>
      </c>
      <c r="D2238" t="s">
        <v>2372</v>
      </c>
      <c r="E2238" t="str">
        <f t="shared" si="2142"/>
        <v>GWth/yr.</v>
      </c>
      <c r="F2238" s="1">
        <f t="shared" ref="F2238:L2238" si="2143">F2239</f>
        <v>0</v>
      </c>
      <c r="G2238" s="1">
        <f t="shared" si="2143"/>
        <v>5.5046874340135965E-5</v>
      </c>
      <c r="H2238" s="1">
        <f t="shared" si="2143"/>
        <v>2.1395401964987803E-2</v>
      </c>
      <c r="I2238" s="1">
        <f t="shared" si="2143"/>
        <v>5.8734882455969602E-7</v>
      </c>
      <c r="J2238" s="1">
        <f t="shared" si="2143"/>
        <v>6.2127624333840933E-2</v>
      </c>
      <c r="K2238" s="1">
        <f t="shared" si="2143"/>
        <v>0.2102077816935902</v>
      </c>
      <c r="L2238" s="1">
        <f t="shared" si="2143"/>
        <v>1.2344062252985199E-8</v>
      </c>
      <c r="N2238" s="1"/>
    </row>
    <row r="2239" spans="2:14" x14ac:dyDescent="0.35">
      <c r="B2239" s="5" t="str">
        <f t="shared" si="2140"/>
        <v>SPS1</v>
      </c>
      <c r="C2239" s="5" t="str">
        <f t="shared" si="2141"/>
        <v>CH</v>
      </c>
      <c r="D2239" t="s">
        <v>2373</v>
      </c>
      <c r="E2239" t="str">
        <f t="shared" si="2142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6.2127624333840933E-2</v>
      </c>
      <c r="K2239" s="1" cm="1">
        <f t="array" ref="K2239">SUMPRODUCT(([2]OUT_FinalEnergyCons!$B$4:$B$10000="var_ncap")*1, (ISNUMBER(SEARCH("RH*-SHLFOBR",[2]OUT_FinalEnergyCons!$A$4:$A$10000)))*1,[2]OUT_FinalEnergyCons!I$4:I$10000)</f>
        <v>0.2102077816935902</v>
      </c>
      <c r="L2239" s="1" cm="1">
        <f t="array" ref="L2239">SUMPRODUCT(([2]OUT_FinalEnergyCons!$B$4:$B$10000="var_ncap")*1, (ISNUMBER(SEARCH("RH*-SHLFOBR",[2]OUT_FinalEnergyCons!$A$4:$A$10000)))*1,[2]OUT_FinalEnergyCons!J$4:J$10000)</f>
        <v>1.2344062252985199E-8</v>
      </c>
      <c r="N2239" s="1"/>
    </row>
    <row r="2240" spans="2:14" x14ac:dyDescent="0.35">
      <c r="B2240" s="5" t="str">
        <f t="shared" si="2140"/>
        <v>SPS1</v>
      </c>
      <c r="C2240" s="5" t="str">
        <f t="shared" si="2141"/>
        <v>CH</v>
      </c>
      <c r="D2240" t="s">
        <v>2374</v>
      </c>
      <c r="E2240" t="str">
        <f t="shared" si="2142"/>
        <v>GWth/yr.</v>
      </c>
      <c r="F2240" s="1">
        <f t="shared" ref="F2240:K2240" si="2144">SUM(F2241:F2242)</f>
        <v>1.48485221251809E-7</v>
      </c>
      <c r="G2240" s="1">
        <f t="shared" si="2144"/>
        <v>0.16797562743496192</v>
      </c>
      <c r="H2240" s="1">
        <f t="shared" si="2144"/>
        <v>0.42364582816228064</v>
      </c>
      <c r="I2240" s="1">
        <f t="shared" si="2144"/>
        <v>0.13709435588548738</v>
      </c>
      <c r="J2240" s="1">
        <f t="shared" si="2144"/>
        <v>0.26897972300502732</v>
      </c>
      <c r="K2240" s="1">
        <f t="shared" si="2144"/>
        <v>0.58820433346175316</v>
      </c>
      <c r="L2240" s="1">
        <f t="shared" ref="L2240" si="2145">SUM(L2241:L2242)</f>
        <v>0.26858209569729019</v>
      </c>
      <c r="N2240" s="1"/>
    </row>
    <row r="2241" spans="2:14" x14ac:dyDescent="0.35">
      <c r="B2241" s="5" t="str">
        <f t="shared" si="2140"/>
        <v>SPS1</v>
      </c>
      <c r="C2241" s="5" t="str">
        <f t="shared" si="2141"/>
        <v>CH</v>
      </c>
      <c r="D2241" t="s">
        <v>2375</v>
      </c>
      <c r="E2241" t="str">
        <f t="shared" si="2142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0.14977354251251554</v>
      </c>
      <c r="K2241" s="1" cm="1">
        <f t="array" ref="K2241">SUMPRODUCT(([2]OUT_FinalEnergyCons!$B$4:$B$10000="var_ncap")*1, (ISNUMBER(SEARCH("RH*-SHNGABR",[2]OUT_FinalEnergyCons!$A$4:$A$10000)))*1,[2]OUT_FinalEnergyCons!I$4:I$10000)</f>
        <v>0.23449734608637587</v>
      </c>
      <c r="L2241" s="1" cm="1">
        <f t="array" ref="L2241">SUMPRODUCT(([2]OUT_FinalEnergyCons!$B$4:$B$10000="var_ncap")*1, (ISNUMBER(SEARCH("RH*-SHNGABR",[2]OUT_FinalEnergyCons!$A$4:$A$10000)))*1,[2]OUT_FinalEnergyCons!J$4:J$10000)</f>
        <v>6.2732237551477696E-8</v>
      </c>
      <c r="N2241" s="1"/>
    </row>
    <row r="2242" spans="2:14" x14ac:dyDescent="0.35">
      <c r="B2242" s="5" t="str">
        <f t="shared" si="2140"/>
        <v>SPS1</v>
      </c>
      <c r="C2242" s="5" t="str">
        <f t="shared" si="2141"/>
        <v>CH</v>
      </c>
      <c r="D2242" t="s">
        <v>2376</v>
      </c>
      <c r="E2242" t="str">
        <f t="shared" si="2142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0.11920618049251176</v>
      </c>
      <c r="K2242" s="1" cm="1">
        <f t="array" ref="K2242">SUMPRODUCT(([2]OUT_FinalEnergyCons!$B$4:$B$10000="var_ncap")*1,ISNUMBER(SEARCH("RH*-SHngahp",[2]OUT_FinalEnergyCons!$A$4:$A$10000))*1,[2]OUT_FinalEnergyCons!I$4:I$10000)</f>
        <v>0.35370698737537731</v>
      </c>
      <c r="L2242" s="1" cm="1">
        <f t="array" ref="L2242">SUMPRODUCT(([2]OUT_FinalEnergyCons!$B$4:$B$10000="var_ncap")*1,ISNUMBER(SEARCH("RH*-SHngahp",[2]OUT_FinalEnergyCons!$A$4:$A$10000))*1,[2]OUT_FinalEnergyCons!J$4:J$10000)</f>
        <v>0.26858203296505262</v>
      </c>
      <c r="N2242" s="1"/>
    </row>
    <row r="2243" spans="2:14" x14ac:dyDescent="0.35">
      <c r="B2243" s="5" t="str">
        <f t="shared" si="2140"/>
        <v>SPS1</v>
      </c>
      <c r="C2243" s="5" t="str">
        <f t="shared" si="2141"/>
        <v>CH</v>
      </c>
      <c r="D2243" t="s">
        <v>2377</v>
      </c>
      <c r="E2243" t="str">
        <f t="shared" si="2142"/>
        <v>GWth/yr.</v>
      </c>
      <c r="F2243" s="1">
        <f t="shared" ref="F2243:L2243" si="2146">F2244</f>
        <v>0</v>
      </c>
      <c r="G2243" s="1">
        <f t="shared" si="2146"/>
        <v>0</v>
      </c>
      <c r="H2243" s="1">
        <f t="shared" si="2146"/>
        <v>0</v>
      </c>
      <c r="I2243" s="1">
        <f t="shared" si="2146"/>
        <v>0</v>
      </c>
      <c r="J2243" s="1">
        <f t="shared" si="2146"/>
        <v>0</v>
      </c>
      <c r="K2243" s="1">
        <f t="shared" si="2146"/>
        <v>0</v>
      </c>
      <c r="L2243" s="1">
        <f t="shared" si="2146"/>
        <v>0</v>
      </c>
      <c r="N2243" s="1"/>
    </row>
    <row r="2244" spans="2:14" x14ac:dyDescent="0.35">
      <c r="B2244" s="5" t="str">
        <f t="shared" si="2140"/>
        <v>SPS1</v>
      </c>
      <c r="C2244" s="5" t="str">
        <f t="shared" si="2141"/>
        <v>CH</v>
      </c>
      <c r="D2244" t="s">
        <v>2378</v>
      </c>
      <c r="E2244" t="str">
        <f t="shared" si="2142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40"/>
        <v>SPS1</v>
      </c>
      <c r="C2245" s="5" t="str">
        <f t="shared" si="2141"/>
        <v>CH</v>
      </c>
      <c r="D2245" t="s">
        <v>2379</v>
      </c>
      <c r="E2245" t="str">
        <f t="shared" si="2142"/>
        <v>GWth/yr.</v>
      </c>
      <c r="F2245" s="1">
        <f t="shared" ref="F2245:L2245" si="2147">F2246</f>
        <v>4.73710054920104E-6</v>
      </c>
      <c r="G2245" s="1">
        <f t="shared" si="2147"/>
        <v>6.0635407538797384E-2</v>
      </c>
      <c r="H2245" s="1">
        <f t="shared" si="2147"/>
        <v>6.9037215890290521E-2</v>
      </c>
      <c r="I2245" s="1">
        <f t="shared" si="2147"/>
        <v>7.8851714214968393E-7</v>
      </c>
      <c r="J2245" s="1">
        <f t="shared" si="2147"/>
        <v>0.37140590596205547</v>
      </c>
      <c r="K2245" s="1">
        <f t="shared" si="2147"/>
        <v>0.15617952871197099</v>
      </c>
      <c r="L2245" s="1">
        <f t="shared" si="2147"/>
        <v>3.9855981381430705E-2</v>
      </c>
      <c r="N2245" s="1"/>
    </row>
    <row r="2246" spans="2:14" x14ac:dyDescent="0.35">
      <c r="B2246" s="5" t="str">
        <f t="shared" si="2140"/>
        <v>SPS1</v>
      </c>
      <c r="C2246" s="5" t="str">
        <f t="shared" si="2141"/>
        <v>CH</v>
      </c>
      <c r="D2246" t="s">
        <v>2380</v>
      </c>
      <c r="E2246" t="str">
        <f t="shared" si="2142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0.37140590596205547</v>
      </c>
      <c r="K2246" s="1" cm="1">
        <f t="array" ref="K2246">SUMPRODUCT(([2]OUT_FinalEnergyCons!$B$4:$B$10000="var_ncap")*1, (ISNUMBER(SEARCH("RH*-SHWODBR",[2]OUT_FinalEnergyCons!$A$4:$A$10000)))*1,[2]OUT_FinalEnergyCons!I$4:I$10000)</f>
        <v>0.15617952871197099</v>
      </c>
      <c r="L2246" s="1" cm="1">
        <f t="array" ref="L2246">SUMPRODUCT(([2]OUT_FinalEnergyCons!$B$4:$B$10000="var_ncap")*1, (ISNUMBER(SEARCH("RH*-SHWODBR",[2]OUT_FinalEnergyCons!$A$4:$A$10000)))*1,[2]OUT_FinalEnergyCons!J$4:J$10000)</f>
        <v>3.9855981381430705E-2</v>
      </c>
      <c r="N2246" s="1"/>
    </row>
    <row r="2247" spans="2:14" x14ac:dyDescent="0.35">
      <c r="B2247" s="5" t="str">
        <f t="shared" si="2140"/>
        <v>SPS1</v>
      </c>
      <c r="C2247" s="5" t="str">
        <f t="shared" si="2141"/>
        <v>CH</v>
      </c>
      <c r="D2247" t="s">
        <v>2381</v>
      </c>
      <c r="E2247" t="str">
        <f t="shared" si="2142"/>
        <v>GWth/yr.</v>
      </c>
      <c r="F2247" s="1">
        <f t="shared" ref="F2247:L2247" si="2148">F2248</f>
        <v>2.3358480959333399E-6</v>
      </c>
      <c r="G2247" s="1">
        <f t="shared" si="2148"/>
        <v>3.5941600309809522E-2</v>
      </c>
      <c r="H2247" s="1">
        <f t="shared" si="2148"/>
        <v>1.6043400768902467E-4</v>
      </c>
      <c r="I2247" s="1">
        <f t="shared" si="2148"/>
        <v>8.5761525997934214E-4</v>
      </c>
      <c r="J2247" s="1">
        <f t="shared" si="2148"/>
        <v>1.85564743709828E-2</v>
      </c>
      <c r="K2247" s="1">
        <f t="shared" si="2148"/>
        <v>3.1012458948279257E-2</v>
      </c>
      <c r="L2247" s="1">
        <f t="shared" si="2148"/>
        <v>1.2198991021708626E-2</v>
      </c>
      <c r="N2247" s="1"/>
    </row>
    <row r="2248" spans="2:14" x14ac:dyDescent="0.35">
      <c r="B2248" s="5" t="str">
        <f t="shared" si="2140"/>
        <v>SPS1</v>
      </c>
      <c r="C2248" s="5" t="str">
        <f t="shared" si="2141"/>
        <v>CH</v>
      </c>
      <c r="D2248" t="s">
        <v>2382</v>
      </c>
      <c r="E2248" t="str">
        <f t="shared" si="2142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1.85564743709828E-2</v>
      </c>
      <c r="K2248" s="1" cm="1">
        <f t="array" ref="K2248">SUMPRODUCT(([2]OUT_FinalEnergyCons!$B$4:$B$10000="var_ncap")*1, (ISNUMBER(SEARCH("RH*-SHPLTBR",[2]OUT_FinalEnergyCons!$A$4:$A$10000)))*1,[2]OUT_FinalEnergyCons!I$4:I$10000)</f>
        <v>3.1012458948279257E-2</v>
      </c>
      <c r="L2248" s="1" cm="1">
        <f t="array" ref="L2248">SUMPRODUCT(([2]OUT_FinalEnergyCons!$B$4:$B$10000="var_ncap")*1, (ISNUMBER(SEARCH("RH*-SHPLTBR",[2]OUT_FinalEnergyCons!$A$4:$A$10000)))*1,[2]OUT_FinalEnergyCons!J$4:J$10000)</f>
        <v>1.2198991021708626E-2</v>
      </c>
      <c r="N2248" s="1"/>
    </row>
    <row r="2249" spans="2:14" x14ac:dyDescent="0.35">
      <c r="B2249" s="5" t="str">
        <f t="shared" si="2140"/>
        <v>SPS1</v>
      </c>
      <c r="C2249" s="5" t="str">
        <f t="shared" si="2141"/>
        <v>CH</v>
      </c>
      <c r="D2249" t="s">
        <v>2383</v>
      </c>
      <c r="E2249" t="str">
        <f t="shared" si="2142"/>
        <v>GWth/yr.</v>
      </c>
      <c r="F2249" s="1">
        <f t="shared" ref="F2249:L2249" si="2149">F2250</f>
        <v>2.04784622861896E-5</v>
      </c>
      <c r="G2249" s="1">
        <f t="shared" si="2149"/>
        <v>2.278908477765499E-2</v>
      </c>
      <c r="H2249" s="1">
        <f t="shared" si="2149"/>
        <v>4.170157906920414E-5</v>
      </c>
      <c r="I2249" s="1">
        <f t="shared" si="2149"/>
        <v>1.0817526334735242E-4</v>
      </c>
      <c r="J2249" s="1">
        <f t="shared" si="2149"/>
        <v>3.1471442157276508E-5</v>
      </c>
      <c r="K2249" s="1">
        <f t="shared" si="2149"/>
        <v>6.3867692587752448E-3</v>
      </c>
      <c r="L2249" s="1">
        <f t="shared" si="2149"/>
        <v>2.2936261331187747E-3</v>
      </c>
      <c r="N2249" s="1"/>
    </row>
    <row r="2250" spans="2:14" x14ac:dyDescent="0.35">
      <c r="B2250" s="5" t="str">
        <f t="shared" si="2140"/>
        <v>SPS1</v>
      </c>
      <c r="C2250" s="5" t="str">
        <f t="shared" si="2141"/>
        <v>CH</v>
      </c>
      <c r="D2250" t="s">
        <v>2384</v>
      </c>
      <c r="E2250" t="str">
        <f t="shared" si="2142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3.1471442157276508E-5</v>
      </c>
      <c r="K2250" s="1" cm="1">
        <f t="array" ref="K2250">SUMPRODUCT(([2]OUT_FinalEnergyCons!$B$4:$B$10000="var_ncap")*1, (ISNUMBER(SEARCH("RH*-SHSOLBR",[2]OUT_FinalEnergyCons!$A$4:$A$10000)))*1,[2]OUT_FinalEnergyCons!I$4:I$10000)</f>
        <v>6.3867692587752448E-3</v>
      </c>
      <c r="L2250" s="1" cm="1">
        <f t="array" ref="L2250">SUMPRODUCT(([2]OUT_FinalEnergyCons!$B$4:$B$10000="var_ncap")*1, (ISNUMBER(SEARCH("RH*-SHSOLBR",[2]OUT_FinalEnergyCons!$A$4:$A$10000)))*1,[2]OUT_FinalEnergyCons!J$4:J$10000)</f>
        <v>2.2936261331187747E-3</v>
      </c>
      <c r="N2250" s="1"/>
    </row>
    <row r="2251" spans="2:14" x14ac:dyDescent="0.35">
      <c r="B2251" s="5" t="str">
        <f t="shared" si="2140"/>
        <v>SPS1</v>
      </c>
      <c r="C2251" s="5" t="str">
        <f t="shared" si="2141"/>
        <v>CH</v>
      </c>
      <c r="D2251" t="s">
        <v>2385</v>
      </c>
      <c r="E2251" t="str">
        <f t="shared" si="2142"/>
        <v>GWth/yr.</v>
      </c>
      <c r="F2251" s="1">
        <f t="shared" ref="F2251:L2251" si="2150">F2252</f>
        <v>0</v>
      </c>
      <c r="G2251" s="1">
        <f t="shared" si="2150"/>
        <v>0</v>
      </c>
      <c r="H2251" s="1">
        <f t="shared" si="2150"/>
        <v>0</v>
      </c>
      <c r="I2251" s="1">
        <f t="shared" si="2150"/>
        <v>0</v>
      </c>
      <c r="J2251" s="1">
        <f t="shared" si="2150"/>
        <v>0</v>
      </c>
      <c r="K2251" s="1">
        <f t="shared" si="2150"/>
        <v>0</v>
      </c>
      <c r="L2251" s="1">
        <f t="shared" si="2150"/>
        <v>0</v>
      </c>
      <c r="N2251" s="1"/>
    </row>
    <row r="2252" spans="2:14" x14ac:dyDescent="0.35">
      <c r="B2252" s="5" t="str">
        <f t="shared" si="2140"/>
        <v>SPS1</v>
      </c>
      <c r="C2252" s="5" t="str">
        <f t="shared" si="2141"/>
        <v>CH</v>
      </c>
      <c r="D2252" t="s">
        <v>2386</v>
      </c>
      <c r="E2252" t="str">
        <f t="shared" si="2142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40"/>
        <v>SPS1</v>
      </c>
      <c r="C2253" s="5" t="str">
        <f t="shared" si="2141"/>
        <v>CH</v>
      </c>
      <c r="D2253" t="s">
        <v>2387</v>
      </c>
      <c r="E2253" t="str">
        <f t="shared" si="2142"/>
        <v>GWth/yr.</v>
      </c>
      <c r="F2253" s="1">
        <f t="shared" ref="F2253:K2253" si="2151">SUM(F2254,F2257,F2259,F2262,F2264,F2266,F2268,F2270)</f>
        <v>1.2130439415197611E-5</v>
      </c>
      <c r="G2253" s="1">
        <f t="shared" si="2151"/>
        <v>0.15658204434858344</v>
      </c>
      <c r="H2253" s="1">
        <f t="shared" si="2151"/>
        <v>0.19100449218741425</v>
      </c>
      <c r="I2253" s="1">
        <f t="shared" si="2151"/>
        <v>0.35211241839401647</v>
      </c>
      <c r="J2253" s="1">
        <f t="shared" si="2151"/>
        <v>0.93622345887482483</v>
      </c>
      <c r="K2253" s="1">
        <f t="shared" si="2151"/>
        <v>0.97057575061783752</v>
      </c>
      <c r="L2253" s="1">
        <f t="shared" ref="L2253" si="2152">SUM(L2254,L2257,L2259,L2262,L2264,L2266,L2268,L2270)</f>
        <v>1.3272018043916241</v>
      </c>
      <c r="N2253" s="1"/>
    </row>
    <row r="2254" spans="2:14" x14ac:dyDescent="0.35">
      <c r="B2254" s="5" t="str">
        <f t="shared" si="2140"/>
        <v>SPS1</v>
      </c>
      <c r="C2254" s="5" t="str">
        <f t="shared" si="2141"/>
        <v>CH</v>
      </c>
      <c r="D2254" t="s">
        <v>2388</v>
      </c>
      <c r="E2254" t="str">
        <f t="shared" si="2142"/>
        <v>GWth/yr.</v>
      </c>
      <c r="F2254" s="1">
        <f t="shared" ref="F2254:K2254" si="2153">SUM(F2255:F2256)</f>
        <v>1.2130439415197611E-5</v>
      </c>
      <c r="G2254" s="1">
        <f t="shared" si="2153"/>
        <v>6.7002147590814298E-2</v>
      </c>
      <c r="H2254" s="1">
        <f t="shared" si="2153"/>
        <v>8.914220015061014E-2</v>
      </c>
      <c r="I2254" s="1">
        <f t="shared" si="2153"/>
        <v>0.29258518185398358</v>
      </c>
      <c r="J2254" s="1">
        <f t="shared" si="2153"/>
        <v>0.48854867896710369</v>
      </c>
      <c r="K2254" s="1">
        <f t="shared" si="2153"/>
        <v>0.54241788536213897</v>
      </c>
      <c r="L2254" s="1">
        <f t="shared" ref="L2254" si="2154">SUM(L2255:L2256)</f>
        <v>0.85573948215079931</v>
      </c>
      <c r="N2254" s="1"/>
    </row>
    <row r="2255" spans="2:14" x14ac:dyDescent="0.35">
      <c r="B2255" s="5" t="str">
        <f t="shared" si="2140"/>
        <v>SPS1</v>
      </c>
      <c r="C2255" s="5" t="str">
        <f t="shared" si="2141"/>
        <v>CH</v>
      </c>
      <c r="D2255" t="s">
        <v>2389</v>
      </c>
      <c r="E2255" t="str">
        <f t="shared" si="2142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6.8671197956627697E-2</v>
      </c>
      <c r="K2255" s="1" cm="1">
        <f t="array" ref="K2255">SUMPRODUCT(([2]OUT_FinalEnergyCons!$B$4:$B$10000="var_ncap")*1,(ISNUMBER(SEARCH("RH*-WHELCBR",[2]OUT_FinalEnergyCons!$A$4:$A$10000)))*1,[2]OUT_FinalEnergyCons!I$4:I$10000)</f>
        <v>7.1099696297607998E-2</v>
      </c>
      <c r="L2255" s="1" cm="1">
        <f t="array" ref="L2255">SUMPRODUCT(([2]OUT_FinalEnergyCons!$B$4:$B$10000="var_ncap")*1,(ISNUMBER(SEARCH("RH*-WHELCBR",[2]OUT_FinalEnergyCons!$A$4:$A$10000)))*1,[2]OUT_FinalEnergyCons!J$4:J$10000)</f>
        <v>5.0573860146386297E-2</v>
      </c>
      <c r="N2255" s="1"/>
    </row>
    <row r="2256" spans="2:14" x14ac:dyDescent="0.35">
      <c r="B2256" s="5" t="str">
        <f t="shared" si="2140"/>
        <v>SPS1</v>
      </c>
      <c r="C2256" s="5" t="str">
        <f t="shared" si="2141"/>
        <v>CH</v>
      </c>
      <c r="D2256" t="s">
        <v>2390</v>
      </c>
      <c r="E2256" t="str">
        <f t="shared" si="2142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0.41987748101047601</v>
      </c>
      <c r="K2256" s="1" cm="1">
        <f t="array" ref="K2256">SUMPRODUCT(([2]OUT_FinalEnergyCons!$B$4:$B$10000="var_ncap")*1,ISNUMBER(SEARCH("RH*-WHELCHP",[2]OUT_FinalEnergyCons!$A$4:$A$10000))*1,[2]OUT_FinalEnergyCons!I$4:I$10000)</f>
        <v>0.47131818906453099</v>
      </c>
      <c r="L2256" s="1" cm="1">
        <f t="array" ref="L2256">SUMPRODUCT(([2]OUT_FinalEnergyCons!$B$4:$B$10000="var_ncap")*1,ISNUMBER(SEARCH("RH*-WHELCHP",[2]OUT_FinalEnergyCons!$A$4:$A$10000))*1,[2]OUT_FinalEnergyCons!J$4:J$10000)</f>
        <v>0.805165622004413</v>
      </c>
      <c r="N2256" s="1"/>
    </row>
    <row r="2257" spans="2:14" x14ac:dyDescent="0.35">
      <c r="B2257" s="5" t="str">
        <f t="shared" si="2140"/>
        <v>SPS1</v>
      </c>
      <c r="C2257" s="5" t="str">
        <f t="shared" si="2141"/>
        <v>CH</v>
      </c>
      <c r="D2257" t="s">
        <v>2391</v>
      </c>
      <c r="E2257" t="str">
        <f t="shared" si="2142"/>
        <v>GWth/yr.</v>
      </c>
      <c r="F2257" s="1">
        <f t="shared" ref="F2257:L2257" si="2155">F2258</f>
        <v>0</v>
      </c>
      <c r="G2257" s="1">
        <f t="shared" si="2155"/>
        <v>2.6597017316000101E-7</v>
      </c>
      <c r="H2257" s="1">
        <f t="shared" si="2155"/>
        <v>1.09617888352669E-7</v>
      </c>
      <c r="I2257" s="1">
        <f t="shared" si="2155"/>
        <v>2.6816396598105598E-7</v>
      </c>
      <c r="J2257" s="1">
        <f t="shared" si="2155"/>
        <v>3.11754211016903E-2</v>
      </c>
      <c r="K2257" s="1">
        <f t="shared" si="2155"/>
        <v>1.19365254860726E-2</v>
      </c>
      <c r="L2257" s="1">
        <f t="shared" si="2155"/>
        <v>0</v>
      </c>
      <c r="N2257" s="1"/>
    </row>
    <row r="2258" spans="2:14" x14ac:dyDescent="0.35">
      <c r="B2258" s="5" t="str">
        <f t="shared" si="2140"/>
        <v>SPS1</v>
      </c>
      <c r="C2258" s="5" t="str">
        <f t="shared" si="2141"/>
        <v>CH</v>
      </c>
      <c r="D2258" t="s">
        <v>2392</v>
      </c>
      <c r="E2258" t="str">
        <f t="shared" si="2142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3.11754211016903E-2</v>
      </c>
      <c r="K2258" s="1" cm="1">
        <f t="array" ref="K2258">SUMPRODUCT(([2]OUT_FinalEnergyCons!$B$4:$B$10000="var_ncap")*1, (ISNUMBER(SEARCH("RH*-WHLFOBR",[2]OUT_FinalEnergyCons!$A$4:$A$10000)))*1,[2]OUT_FinalEnergyCons!I$4:I$10000)</f>
        <v>1.19365254860726E-2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40"/>
        <v>SPS1</v>
      </c>
      <c r="C2259" s="5" t="str">
        <f t="shared" si="2141"/>
        <v>CH</v>
      </c>
      <c r="D2259" t="s">
        <v>2393</v>
      </c>
      <c r="E2259" t="str">
        <f t="shared" si="2142"/>
        <v>GWth/yr.</v>
      </c>
      <c r="F2259" s="1">
        <f t="shared" ref="F2259:K2259" si="2156">SUM(F2260:F2261)</f>
        <v>0</v>
      </c>
      <c r="G2259" s="1">
        <f t="shared" si="2156"/>
        <v>7.8444755239108906E-7</v>
      </c>
      <c r="H2259" s="1">
        <f t="shared" si="2156"/>
        <v>5.8119420556702835E-2</v>
      </c>
      <c r="I2259" s="1">
        <f t="shared" si="2156"/>
        <v>5.6849773420023161E-2</v>
      </c>
      <c r="J2259" s="1">
        <f t="shared" si="2156"/>
        <v>0.1253607390454658</v>
      </c>
      <c r="K2259" s="1">
        <f t="shared" si="2156"/>
        <v>0.1610112738315275</v>
      </c>
      <c r="L2259" s="1">
        <f t="shared" ref="L2259" si="2157">SUM(L2260:L2261)</f>
        <v>0.15656858229322612</v>
      </c>
      <c r="N2259" s="1"/>
    </row>
    <row r="2260" spans="2:14" x14ac:dyDescent="0.35">
      <c r="B2260" s="5" t="str">
        <f t="shared" si="2140"/>
        <v>SPS1</v>
      </c>
      <c r="C2260" s="5" t="str">
        <f t="shared" si="2141"/>
        <v>CH</v>
      </c>
      <c r="D2260" t="s">
        <v>2394</v>
      </c>
      <c r="E2260" t="str">
        <f t="shared" si="2142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4.4728930045011897E-2</v>
      </c>
      <c r="K2260" s="1" cm="1">
        <f t="array" ref="K2260">SUMPRODUCT(([2]OUT_FinalEnergyCons!$B$4:$B$10000="var_ncap")*1, (ISNUMBER(SEARCH("RH*-WHNGABR",[2]OUT_FinalEnergyCons!$A$4:$A$10000)))*1,[2]OUT_FinalEnergyCons!I$4:I$10000)</f>
        <v>3.5148984490070499E-2</v>
      </c>
      <c r="L2260" s="1" cm="1">
        <f t="array" ref="L2260">SUMPRODUCT(([2]OUT_FinalEnergyCons!$B$4:$B$10000="var_ncap")*1, (ISNUMBER(SEARCH("RH*-WHNGABR",[2]OUT_FinalEnergyCons!$A$4:$A$10000)))*1,[2]OUT_FinalEnergyCons!J$4:J$10000)</f>
        <v>1.8349117105915401E-8</v>
      </c>
      <c r="N2260" s="1"/>
    </row>
    <row r="2261" spans="2:14" x14ac:dyDescent="0.35">
      <c r="B2261" s="5" t="str">
        <f t="shared" si="2140"/>
        <v>SPS1</v>
      </c>
      <c r="C2261" s="5" t="str">
        <f t="shared" si="2141"/>
        <v>CH</v>
      </c>
      <c r="D2261" t="s">
        <v>2395</v>
      </c>
      <c r="E2261" t="str">
        <f t="shared" si="2142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8.06318090004539E-2</v>
      </c>
      <c r="K2261" s="1" cm="1">
        <f t="array" ref="K2261">SUMPRODUCT(([2]OUT_FinalEnergyCons!$B$4:$B$10000="var_ncap")*1,ISNUMBER(SEARCH("RH*-WHngahp",[2]OUT_FinalEnergyCons!$A$4:$A$10000))*1,[2]OUT_FinalEnergyCons!I$4:I$10000)</f>
        <v>0.12586228934145699</v>
      </c>
      <c r="L2261" s="1" cm="1">
        <f t="array" ref="L2261">SUMPRODUCT(([2]OUT_FinalEnergyCons!$B$4:$B$10000="var_ncap")*1,ISNUMBER(SEARCH("RH*-WHngahp",[2]OUT_FinalEnergyCons!$A$4:$A$10000))*1,[2]OUT_FinalEnergyCons!J$4:J$10000)</f>
        <v>0.15656856394410901</v>
      </c>
      <c r="N2261" s="1"/>
    </row>
    <row r="2262" spans="2:14" x14ac:dyDescent="0.35">
      <c r="B2262" s="5" t="str">
        <f t="shared" si="2140"/>
        <v>SPS1</v>
      </c>
      <c r="C2262" s="5" t="str">
        <f t="shared" si="2141"/>
        <v>CH</v>
      </c>
      <c r="D2262" t="s">
        <v>2396</v>
      </c>
      <c r="E2262" t="str">
        <f t="shared" si="2142"/>
        <v>GWth/yr.</v>
      </c>
      <c r="F2262" s="1">
        <f t="shared" ref="F2262:L2262" si="2158">F2263</f>
        <v>0</v>
      </c>
      <c r="G2262" s="1">
        <f t="shared" si="2158"/>
        <v>0</v>
      </c>
      <c r="H2262" s="1">
        <f t="shared" si="2158"/>
        <v>0</v>
      </c>
      <c r="I2262" s="1">
        <f t="shared" si="2158"/>
        <v>0</v>
      </c>
      <c r="J2262" s="1">
        <f t="shared" si="2158"/>
        <v>0</v>
      </c>
      <c r="K2262" s="1">
        <f t="shared" si="2158"/>
        <v>0</v>
      </c>
      <c r="L2262" s="1">
        <f t="shared" si="2158"/>
        <v>0</v>
      </c>
      <c r="N2262" s="1"/>
    </row>
    <row r="2263" spans="2:14" x14ac:dyDescent="0.35">
      <c r="B2263" s="5" t="str">
        <f t="shared" si="2140"/>
        <v>SPS1</v>
      </c>
      <c r="C2263" s="5" t="str">
        <f t="shared" si="2141"/>
        <v>CH</v>
      </c>
      <c r="D2263" t="s">
        <v>2397</v>
      </c>
      <c r="E2263" t="str">
        <f t="shared" si="2142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40"/>
        <v>SPS1</v>
      </c>
      <c r="C2264" s="5" t="str">
        <f t="shared" si="2141"/>
        <v>CH</v>
      </c>
      <c r="D2264" t="s">
        <v>2398</v>
      </c>
      <c r="E2264" t="str">
        <f t="shared" si="2142"/>
        <v>GWth/yr.</v>
      </c>
      <c r="F2264" s="1">
        <f t="shared" ref="F2264:L2264" si="2159">F2265</f>
        <v>0</v>
      </c>
      <c r="G2264" s="1">
        <f t="shared" si="2159"/>
        <v>5.1260578233641198E-3</v>
      </c>
      <c r="H2264" s="1">
        <f t="shared" si="2159"/>
        <v>4.3741864174076703E-2</v>
      </c>
      <c r="I2264" s="1">
        <f t="shared" si="2159"/>
        <v>2.6730797329270598E-3</v>
      </c>
      <c r="J2264" s="1">
        <f t="shared" si="2159"/>
        <v>2.5694865385776301E-2</v>
      </c>
      <c r="K2264" s="1">
        <f t="shared" si="2159"/>
        <v>4.6214845398201199E-2</v>
      </c>
      <c r="L2264" s="1">
        <f t="shared" si="2159"/>
        <v>1.9220664113959101E-2</v>
      </c>
      <c r="N2264" s="1"/>
    </row>
    <row r="2265" spans="2:14" x14ac:dyDescent="0.35">
      <c r="B2265" s="5" t="str">
        <f t="shared" si="2140"/>
        <v>SPS1</v>
      </c>
      <c r="C2265" s="5" t="str">
        <f t="shared" si="2141"/>
        <v>CH</v>
      </c>
      <c r="D2265" t="s">
        <v>2399</v>
      </c>
      <c r="E2265" t="str">
        <f t="shared" si="2142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2.5694865385776301E-2</v>
      </c>
      <c r="K2265" s="1" cm="1">
        <f t="array" ref="K2265">SUMPRODUCT(([2]OUT_FinalEnergyCons!$B$4:$B$10000="var_ncap")*1, (ISNUMBER(SEARCH("RH*-WHWODBR",[2]OUT_FinalEnergyCons!$A$4:$A$10000)))*1,[2]OUT_FinalEnergyCons!I$4:I$10000)</f>
        <v>4.6214845398201199E-2</v>
      </c>
      <c r="L2265" s="1" cm="1">
        <f t="array" ref="L2265">SUMPRODUCT(([2]OUT_FinalEnergyCons!$B$4:$B$10000="var_ncap")*1, (ISNUMBER(SEARCH("RH*-WHWODBR",[2]OUT_FinalEnergyCons!$A$4:$A$10000)))*1,[2]OUT_FinalEnergyCons!J$4:J$10000)</f>
        <v>1.9220664113959101E-2</v>
      </c>
      <c r="N2265" s="1"/>
    </row>
    <row r="2266" spans="2:14" x14ac:dyDescent="0.35">
      <c r="B2266" s="5" t="str">
        <f t="shared" si="2140"/>
        <v>SPS1</v>
      </c>
      <c r="C2266" s="5" t="str">
        <f t="shared" si="2141"/>
        <v>CH</v>
      </c>
      <c r="D2266" t="s">
        <v>2400</v>
      </c>
      <c r="E2266" t="str">
        <f t="shared" si="2142"/>
        <v>GWth/yr.</v>
      </c>
      <c r="F2266" s="1">
        <f t="shared" ref="F2266:L2266" si="2160">F2267</f>
        <v>0</v>
      </c>
      <c r="G2266" s="1">
        <f t="shared" si="2160"/>
        <v>1.9542992813429802E-3</v>
      </c>
      <c r="H2266" s="1">
        <f t="shared" si="2160"/>
        <v>1.6130940086118599E-7</v>
      </c>
      <c r="I2266" s="1">
        <f t="shared" si="2160"/>
        <v>1.25967391033899E-6</v>
      </c>
      <c r="J2266" s="1">
        <f t="shared" si="2160"/>
        <v>9.1192843239257197E-3</v>
      </c>
      <c r="K2266" s="1">
        <f t="shared" si="2160"/>
        <v>5.8225676197483098E-3</v>
      </c>
      <c r="L2266" s="1">
        <f t="shared" si="2160"/>
        <v>6.8008124050025903E-3</v>
      </c>
      <c r="N2266" s="1"/>
    </row>
    <row r="2267" spans="2:14" x14ac:dyDescent="0.35">
      <c r="B2267" s="5" t="str">
        <f t="shared" si="2140"/>
        <v>SPS1</v>
      </c>
      <c r="C2267" s="5" t="str">
        <f t="shared" si="2141"/>
        <v>CH</v>
      </c>
      <c r="D2267" t="s">
        <v>2401</v>
      </c>
      <c r="E2267" t="str">
        <f t="shared" si="2142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9.1192843239257197E-3</v>
      </c>
      <c r="K2267" s="1" cm="1">
        <f t="array" ref="K2267">SUMPRODUCT(([2]OUT_FinalEnergyCons!$B$4:$B$10000="var_ncap")*1, (ISNUMBER(SEARCH("RH*-WHPLTBR",[2]OUT_FinalEnergyCons!$A$4:$A$10000)))*1,[2]OUT_FinalEnergyCons!I$4:I$10000)</f>
        <v>5.8225676197483098E-3</v>
      </c>
      <c r="L2267" s="1" cm="1">
        <f t="array" ref="L2267">SUMPRODUCT(([2]OUT_FinalEnergyCons!$B$4:$B$10000="var_ncap")*1, (ISNUMBER(SEARCH("RH*-WHPLTBR",[2]OUT_FinalEnergyCons!$A$4:$A$10000)))*1,[2]OUT_FinalEnergyCons!J$4:J$10000)</f>
        <v>6.8008124050025903E-3</v>
      </c>
      <c r="N2267" s="1"/>
    </row>
    <row r="2268" spans="2:14" x14ac:dyDescent="0.35">
      <c r="B2268" s="5" t="str">
        <f t="shared" ref="B2268:B2294" si="2161">B2267</f>
        <v>SPS1</v>
      </c>
      <c r="C2268" s="5" t="str">
        <f t="shared" ref="C2268:C2294" si="2162">C2267</f>
        <v>CH</v>
      </c>
      <c r="D2268" t="s">
        <v>2402</v>
      </c>
      <c r="E2268" t="str">
        <f t="shared" ref="E2268:E2299" si="2163">E2267</f>
        <v>GWth/yr.</v>
      </c>
      <c r="F2268" s="1">
        <f t="shared" ref="F2268:L2268" si="2164">F2269</f>
        <v>0</v>
      </c>
      <c r="G2268" s="1">
        <f t="shared" si="2164"/>
        <v>8.2498489235336495E-2</v>
      </c>
      <c r="H2268" s="1">
        <f t="shared" si="2164"/>
        <v>7.3637873537376398E-7</v>
      </c>
      <c r="I2268" s="1">
        <f t="shared" si="2164"/>
        <v>2.8555492063189901E-6</v>
      </c>
      <c r="J2268" s="1">
        <f t="shared" si="2164"/>
        <v>0.25632447005086301</v>
      </c>
      <c r="K2268" s="1">
        <f t="shared" si="2164"/>
        <v>0.20317265292014899</v>
      </c>
      <c r="L2268" s="1">
        <f t="shared" si="2164"/>
        <v>0.28887226342863698</v>
      </c>
      <c r="N2268" s="1"/>
    </row>
    <row r="2269" spans="2:14" x14ac:dyDescent="0.35">
      <c r="B2269" s="5" t="str">
        <f t="shared" si="2161"/>
        <v>SPS1</v>
      </c>
      <c r="C2269" s="5" t="str">
        <f t="shared" si="2162"/>
        <v>CH</v>
      </c>
      <c r="D2269" t="s">
        <v>2403</v>
      </c>
      <c r="E2269" t="str">
        <f t="shared" si="2163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0.25632447005086301</v>
      </c>
      <c r="K2269" s="1" cm="1">
        <f t="array" ref="K2269">SUMPRODUCT(([2]OUT_FinalEnergyCons!$B$4:$B$10000="var_ncap")*1, (ISNUMBER(SEARCH("RH*-WHSOLBR",[2]OUT_FinalEnergyCons!$A$4:$A$10000)))*1,[2]OUT_FinalEnergyCons!I$4:I$10000)</f>
        <v>0.20317265292014899</v>
      </c>
      <c r="L2269" s="1" cm="1">
        <f t="array" ref="L2269">SUMPRODUCT(([2]OUT_FinalEnergyCons!$B$4:$B$10000="var_ncap")*1, (ISNUMBER(SEARCH("RH*-WHSOLBR",[2]OUT_FinalEnergyCons!$A$4:$A$10000)))*1,[2]OUT_FinalEnergyCons!J$4:J$10000)</f>
        <v>0.28887226342863698</v>
      </c>
      <c r="N2269" s="1"/>
    </row>
    <row r="2270" spans="2:14" x14ac:dyDescent="0.35">
      <c r="B2270" s="5" t="str">
        <f t="shared" si="2161"/>
        <v>SPS1</v>
      </c>
      <c r="C2270" s="5" t="str">
        <f t="shared" si="2162"/>
        <v>CH</v>
      </c>
      <c r="D2270" t="s">
        <v>2404</v>
      </c>
      <c r="E2270" t="str">
        <f t="shared" si="2163"/>
        <v>GWth/yr.</v>
      </c>
      <c r="F2270" s="1">
        <f t="shared" ref="F2270:L2270" si="2165">F2271</f>
        <v>0</v>
      </c>
      <c r="G2270" s="1">
        <f t="shared" si="2165"/>
        <v>0</v>
      </c>
      <c r="H2270" s="1">
        <f t="shared" si="2165"/>
        <v>0</v>
      </c>
      <c r="I2270" s="1">
        <f t="shared" si="2165"/>
        <v>0</v>
      </c>
      <c r="J2270" s="1">
        <f t="shared" si="2165"/>
        <v>0</v>
      </c>
      <c r="K2270" s="1">
        <f t="shared" si="2165"/>
        <v>0</v>
      </c>
      <c r="L2270" s="1">
        <f t="shared" si="2165"/>
        <v>0</v>
      </c>
      <c r="N2270" s="1"/>
    </row>
    <row r="2271" spans="2:14" x14ac:dyDescent="0.35">
      <c r="B2271" s="5" t="str">
        <f t="shared" si="2161"/>
        <v>SPS1</v>
      </c>
      <c r="C2271" s="5" t="str">
        <f t="shared" si="2162"/>
        <v>CH</v>
      </c>
      <c r="D2271" t="s">
        <v>2405</v>
      </c>
      <c r="E2271" t="str">
        <f t="shared" si="2163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1"/>
        <v>SPS1</v>
      </c>
      <c r="C2272" s="9" t="str">
        <f t="shared" si="2162"/>
        <v>CH</v>
      </c>
      <c r="D2272" s="2" t="s">
        <v>2406</v>
      </c>
      <c r="E2272" s="9" t="str">
        <f t="shared" si="2163"/>
        <v>GWth/yr.</v>
      </c>
      <c r="F2272" s="17">
        <f t="shared" ref="F2272:K2272" si="2166">SUM(F2273,F2276,F2279,F2283,F2285,F2287,F2289,F2291,F2293)</f>
        <v>6.4137391910455699E-4</v>
      </c>
      <c r="G2272" s="17">
        <f t="shared" si="2166"/>
        <v>0.27814498220387551</v>
      </c>
      <c r="H2272" s="17">
        <f t="shared" si="2166"/>
        <v>0.13667696255811218</v>
      </c>
      <c r="I2272" s="17">
        <f t="shared" si="2166"/>
        <v>0.35951392664033893</v>
      </c>
      <c r="J2272" s="17">
        <f t="shared" si="2166"/>
        <v>2.1653814899380284</v>
      </c>
      <c r="K2272" s="17">
        <f t="shared" si="2166"/>
        <v>0.71515935688850385</v>
      </c>
      <c r="L2272" s="17">
        <f t="shared" ref="L2272" si="2167">SUM(L2273,L2276,L2279,L2283,L2285,L2287,L2289,L2291,L2293)</f>
        <v>1.6919084011064758</v>
      </c>
      <c r="N2272" s="1"/>
    </row>
    <row r="2273" spans="2:14" x14ac:dyDescent="0.35">
      <c r="B2273" s="5" t="str">
        <f t="shared" si="2161"/>
        <v>SPS1</v>
      </c>
      <c r="C2273" s="5" t="str">
        <f t="shared" si="2162"/>
        <v>CH</v>
      </c>
      <c r="D2273" t="s">
        <v>2407</v>
      </c>
      <c r="E2273" t="str">
        <f t="shared" si="2163"/>
        <v>GWth/yr.</v>
      </c>
      <c r="F2273" s="18">
        <f t="shared" ref="F2273:K2273" si="2168">SUM(F2274:F2275)</f>
        <v>0</v>
      </c>
      <c r="G2273" s="18">
        <f t="shared" si="2168"/>
        <v>0.2137057891134338</v>
      </c>
      <c r="H2273" s="18">
        <f t="shared" si="2168"/>
        <v>1.89604103230683E-3</v>
      </c>
      <c r="I2273" s="18">
        <f t="shared" si="2168"/>
        <v>0.357271528252527</v>
      </c>
      <c r="J2273" s="18">
        <f t="shared" si="2168"/>
        <v>0.70756224560506986</v>
      </c>
      <c r="K2273" s="18">
        <f t="shared" si="2168"/>
        <v>0.265414612069857</v>
      </c>
      <c r="L2273" s="18">
        <f t="shared" ref="L2273" si="2169">SUM(L2274:L2275)</f>
        <v>0.95526055105230401</v>
      </c>
      <c r="N2273" s="1"/>
    </row>
    <row r="2274" spans="2:14" x14ac:dyDescent="0.35">
      <c r="B2274" s="5" t="str">
        <f t="shared" si="2161"/>
        <v>SPS1</v>
      </c>
      <c r="C2274" s="5" t="str">
        <f t="shared" si="2162"/>
        <v>CH</v>
      </c>
      <c r="D2274" t="s">
        <v>2408</v>
      </c>
      <c r="E2274" t="str">
        <f t="shared" si="2163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0.618835109384404</v>
      </c>
      <c r="K2274" s="1" cm="1">
        <f t="array" ref="K2274">SUMPRODUCT(([2]OUT_FinalEnergyCons!$B$4:$B$10000="var_ncap")*1,  (ISNUMBER(SEARCH("ITOT-SWHELCBR",[2]OUT_FinalEnergyCons!$A$4:$A$10000)))*1,[2]OUT_FinalEnergyCons!I$4:I$10000)</f>
        <v>0.15070721085990199</v>
      </c>
      <c r="L2274" s="1" cm="1">
        <f t="array" ref="L2274">SUMPRODUCT(([2]OUT_FinalEnergyCons!$B$4:$B$10000="var_ncap")*1,  (ISNUMBER(SEARCH("ITOT-SWHELCBR",[2]OUT_FinalEnergyCons!$A$4:$A$10000)))*1,[2]OUT_FinalEnergyCons!J$4:J$10000)</f>
        <v>0.59452672753987601</v>
      </c>
      <c r="N2274" s="1"/>
    </row>
    <row r="2275" spans="2:14" x14ac:dyDescent="0.35">
      <c r="B2275" s="5" t="str">
        <f t="shared" si="2161"/>
        <v>SPS1</v>
      </c>
      <c r="C2275" s="5" t="str">
        <f t="shared" si="2162"/>
        <v>CH</v>
      </c>
      <c r="D2275" t="s">
        <v>2409</v>
      </c>
      <c r="E2275" t="str">
        <f t="shared" si="2163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8.8727136220665803E-2</v>
      </c>
      <c r="K2275" s="1" cm="1">
        <f t="array" ref="K2275">SUMPRODUCT(([2]OUT_FinalEnergyCons!$B$4:$B$10000="var_ncap")*1,  (ISNUMBER(SEARCH("ITOT-SWHELCHP",[2]OUT_FinalEnergyCons!$A$4:$A$10000)))*1,[2]OUT_FinalEnergyCons!I$4:I$10000)</f>
        <v>0.114707401209955</v>
      </c>
      <c r="L2275" s="1" cm="1">
        <f t="array" ref="L2275">SUMPRODUCT(([2]OUT_FinalEnergyCons!$B$4:$B$10000="var_ncap")*1,  (ISNUMBER(SEARCH("ITOT-SWHELCHP",[2]OUT_FinalEnergyCons!$A$4:$A$10000)))*1,[2]OUT_FinalEnergyCons!J$4:J$10000)</f>
        <v>0.360733823512428</v>
      </c>
      <c r="N2275" s="1"/>
    </row>
    <row r="2276" spans="2:14" x14ac:dyDescent="0.35">
      <c r="B2276" s="5" t="str">
        <f t="shared" si="2161"/>
        <v>SPS1</v>
      </c>
      <c r="C2276" s="5" t="str">
        <f t="shared" si="2162"/>
        <v>CH</v>
      </c>
      <c r="D2276" t="s">
        <v>2410</v>
      </c>
      <c r="E2276" t="str">
        <f t="shared" si="2163"/>
        <v>GWth/yr.</v>
      </c>
      <c r="F2276" s="18">
        <f t="shared" ref="F2276:K2276" si="2170">SUM(F2277:F2278)</f>
        <v>6.4137391910455699E-4</v>
      </c>
      <c r="G2276" s="18">
        <f t="shared" si="2170"/>
        <v>2.2619341595056522E-4</v>
      </c>
      <c r="H2276" s="18">
        <f t="shared" si="2170"/>
        <v>6.0362860474534293E-5</v>
      </c>
      <c r="I2276" s="18">
        <f t="shared" si="2170"/>
        <v>5.2634670422942596E-5</v>
      </c>
      <c r="J2276" s="18">
        <f t="shared" si="2170"/>
        <v>0.14338708164868016</v>
      </c>
      <c r="K2276" s="18">
        <f t="shared" si="2170"/>
        <v>7.1759203309529437E-2</v>
      </c>
      <c r="L2276" s="18">
        <f t="shared" ref="L2276" si="2171">SUM(L2277:L2278)</f>
        <v>6.0354809014685644E-7</v>
      </c>
      <c r="N2276" s="1"/>
    </row>
    <row r="2277" spans="2:14" x14ac:dyDescent="0.35">
      <c r="B2277" s="5" t="str">
        <f t="shared" si="2161"/>
        <v>SPS1</v>
      </c>
      <c r="C2277" s="5" t="str">
        <f t="shared" si="2162"/>
        <v>CH</v>
      </c>
      <c r="D2277" t="s">
        <v>2411</v>
      </c>
      <c r="E2277" t="str">
        <f t="shared" si="2163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0.14338162092290099</v>
      </c>
      <c r="K2277" s="1" cm="1">
        <f t="array" ref="K2277">SUMPRODUCT(([2]OUT_FinalEnergyCons!$B$4:$B$10000="var_ncap")*1,  (ISNUMBER(SEARCH("ITOT-SWHLFOBR",[2]OUT_FinalEnergyCons!$A$4:$A$10000)))*1,[2]OUT_FinalEnergyCons!I$4:I$10000)</f>
        <v>7.1739360420181905E-2</v>
      </c>
      <c r="L2277" s="1" cm="1">
        <f t="array" ref="L2277">SUMPRODUCT(([2]OUT_FinalEnergyCons!$B$4:$B$10000="var_ncap")*1,  (ISNUMBER(SEARCH("ITOT-SWHLFOBR",[2]OUT_FinalEnergyCons!$A$4:$A$10000)))*1,[2]OUT_FinalEnergyCons!J$4:J$10000)</f>
        <v>5.7613541815422704E-7</v>
      </c>
      <c r="N2277" s="1"/>
    </row>
    <row r="2278" spans="2:14" x14ac:dyDescent="0.35">
      <c r="B2278" s="5" t="str">
        <f t="shared" si="2161"/>
        <v>SPS1</v>
      </c>
      <c r="C2278" s="5" t="str">
        <f t="shared" si="2162"/>
        <v>CH</v>
      </c>
      <c r="D2278" t="s">
        <v>2412</v>
      </c>
      <c r="E2278" t="str">
        <f t="shared" si="2163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5.4607257791668499E-6</v>
      </c>
      <c r="K2278" s="1" cm="1">
        <f t="array" ref="K2278">SUMPRODUCT(([2]OUT_FinalEnergyCons!$B$4:$B$10000="var_ncap")*1,  (ISNUMBER(SEARCH("ITOT-SWHHFOBR",[2]OUT_FinalEnergyCons!$A$4:$A$10000)))*1,[2]OUT_FinalEnergyCons!I$4:I$10000)</f>
        <v>1.9842889347527501E-5</v>
      </c>
      <c r="L2278" s="1" cm="1">
        <f t="array" ref="L2278">SUMPRODUCT(([2]OUT_FinalEnergyCons!$B$4:$B$10000="var_ncap")*1,  (ISNUMBER(SEARCH("ITOT-SWHHFOBR",[2]OUT_FinalEnergyCons!$A$4:$A$10000)))*1,[2]OUT_FinalEnergyCons!J$4:J$10000)</f>
        <v>2.7412671992629401E-8</v>
      </c>
      <c r="N2278" s="1"/>
    </row>
    <row r="2279" spans="2:14" x14ac:dyDescent="0.35">
      <c r="B2279" s="5" t="str">
        <f t="shared" si="2161"/>
        <v>SPS1</v>
      </c>
      <c r="C2279" s="5" t="str">
        <f t="shared" si="2162"/>
        <v>CH</v>
      </c>
      <c r="D2279" t="s">
        <v>2413</v>
      </c>
      <c r="E2279" t="str">
        <f t="shared" si="2163"/>
        <v>GWth/yr.</v>
      </c>
      <c r="F2279" s="18">
        <f t="shared" ref="F2279:K2279" si="2172">SUM(F2280:F2281)</f>
        <v>0</v>
      </c>
      <c r="G2279" s="18">
        <f t="shared" si="2172"/>
        <v>1.0221938618258371E-3</v>
      </c>
      <c r="H2279" s="18">
        <f t="shared" si="2172"/>
        <v>4.1977348656649594E-5</v>
      </c>
      <c r="I2279" s="18">
        <f t="shared" si="2172"/>
        <v>2.3250994096792151E-5</v>
      </c>
      <c r="J2279" s="18">
        <f t="shared" si="2172"/>
        <v>0.29979642793538913</v>
      </c>
      <c r="K2279" s="18">
        <f t="shared" si="2172"/>
        <v>3.5744204210127799E-2</v>
      </c>
      <c r="L2279" s="18">
        <f t="shared" ref="L2279" si="2173">SUM(L2280:L2281)</f>
        <v>2.2416448445759202E-5</v>
      </c>
      <c r="N2279" s="1"/>
    </row>
    <row r="2280" spans="2:14" x14ac:dyDescent="0.35">
      <c r="B2280" s="5" t="str">
        <f t="shared" si="2161"/>
        <v>SPS1</v>
      </c>
      <c r="C2280" s="5" t="str">
        <f t="shared" si="2162"/>
        <v>CH</v>
      </c>
      <c r="D2280" t="s">
        <v>2414</v>
      </c>
      <c r="E2280" t="str">
        <f t="shared" si="2163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0.29978907534382798</v>
      </c>
      <c r="K2280" s="1" cm="1">
        <f t="array" ref="K2280">SUMPRODUCT(([2]OUT_FinalEnergyCons!$B$4:$B$10000="var_ncap")*1,  (ISNUMBER(SEARCH("ITOT-SWHNGA*BR",[2]OUT_FinalEnergyCons!$A$4:$A$10000)))*1,[2]OUT_FinalEnergyCons!I$4:I$10000)</f>
        <v>3.5734602106883499E-2</v>
      </c>
      <c r="L2280" s="1" cm="1">
        <f t="array" ref="L2280">SUMPRODUCT(([2]OUT_FinalEnergyCons!$B$4:$B$10000="var_ncap")*1,  (ISNUMBER(SEARCH("ITOT-SWHNGA*BR",[2]OUT_FinalEnergyCons!$A$4:$A$10000)))*1,[2]OUT_FinalEnergyCons!J$4:J$10000)</f>
        <v>4.2795579000360302E-7</v>
      </c>
      <c r="N2280" s="1"/>
    </row>
    <row r="2281" spans="2:14" x14ac:dyDescent="0.35">
      <c r="B2281" s="5" t="str">
        <f t="shared" si="2161"/>
        <v>SPS1</v>
      </c>
      <c r="C2281" s="5" t="str">
        <f t="shared" si="2162"/>
        <v>CH</v>
      </c>
      <c r="D2281" t="s">
        <v>2415</v>
      </c>
      <c r="E2281" t="str">
        <f t="shared" si="2163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7.3525915611443699E-6</v>
      </c>
      <c r="K2281" s="1" cm="1">
        <f t="array" ref="K2281">SUMPRODUCT(([2]OUT_FinalEnergyCons!$B$4:$B$10000="var_ncap")*1,  (ISNUMBER(SEARCH("ITOT-SWHNGAHP",[2]OUT_FinalEnergyCons!$A$4:$A$10000)))*1,[2]OUT_FinalEnergyCons!I$4:I$10000)</f>
        <v>9.6021032442997508E-6</v>
      </c>
      <c r="L2281" s="1" cm="1">
        <f t="array" ref="L2281">SUMPRODUCT(([2]OUT_FinalEnergyCons!$B$4:$B$10000="var_ncap")*1,  (ISNUMBER(SEARCH("ITOT-SWHNGAHP",[2]OUT_FinalEnergyCons!$A$4:$A$10000)))*1,[2]OUT_FinalEnergyCons!J$4:J$10000)</f>
        <v>2.1988492655755601E-5</v>
      </c>
      <c r="N2281" s="1"/>
    </row>
    <row r="2282" spans="2:14" x14ac:dyDescent="0.35">
      <c r="B2282" s="5" t="str">
        <f t="shared" si="2161"/>
        <v>SPS1</v>
      </c>
      <c r="C2282" s="5" t="str">
        <f t="shared" si="2162"/>
        <v>CH</v>
      </c>
      <c r="D2282" t="s">
        <v>2416</v>
      </c>
      <c r="E2282" t="str">
        <f t="shared" si="2163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9.9991740582740699E-2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0.22058743996828301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0.302968647651713</v>
      </c>
      <c r="N2282" s="1"/>
    </row>
    <row r="2283" spans="2:14" x14ac:dyDescent="0.35">
      <c r="B2283" s="5" t="str">
        <f t="shared" si="2161"/>
        <v>SPS1</v>
      </c>
      <c r="C2283" s="5" t="str">
        <f t="shared" si="2162"/>
        <v>CH</v>
      </c>
      <c r="D2283" t="s">
        <v>2417</v>
      </c>
      <c r="E2283" t="str">
        <f t="shared" si="2163"/>
        <v>GWth/yr.</v>
      </c>
      <c r="F2283" s="1">
        <f t="shared" ref="F2283:L2283" si="2174">F2284</f>
        <v>0</v>
      </c>
      <c r="G2283" s="1">
        <f t="shared" si="2174"/>
        <v>8.8164783741167896E-6</v>
      </c>
      <c r="H2283" s="1">
        <f t="shared" si="2174"/>
        <v>5.4764450466421203E-6</v>
      </c>
      <c r="I2283" s="1">
        <f t="shared" si="2174"/>
        <v>8.7721004935959006E-6</v>
      </c>
      <c r="J2283" s="1">
        <f t="shared" si="2174"/>
        <v>4.0022378443703296E-6</v>
      </c>
      <c r="K2283" s="1">
        <f t="shared" si="2174"/>
        <v>1.20360936932269E-5</v>
      </c>
      <c r="L2283" s="1">
        <f t="shared" si="2174"/>
        <v>2.74212965292348E-7</v>
      </c>
      <c r="N2283" s="1"/>
    </row>
    <row r="2284" spans="2:14" x14ac:dyDescent="0.35">
      <c r="B2284" s="5" t="str">
        <f t="shared" si="2161"/>
        <v>SPS1</v>
      </c>
      <c r="C2284" s="5" t="str">
        <f t="shared" si="2162"/>
        <v>CH</v>
      </c>
      <c r="D2284" t="s">
        <v>2418</v>
      </c>
      <c r="E2284" t="str">
        <f t="shared" si="2163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4.0022378443703296E-6</v>
      </c>
      <c r="K2284" s="1" cm="1">
        <f t="array" ref="K2284">SUMPRODUCT(([2]OUT_FinalEnergyCons!$B$4:$B$10000="var_ncap")*1,  (ISNUMBER(SEARCH("ITOT-SWHCOA*BR",[2]OUT_FinalEnergyCons!$A$4:$A$10000)))*1,[2]OUT_FinalEnergyCons!I$4:I$10000)</f>
        <v>1.20360936932269E-5</v>
      </c>
      <c r="L2284" s="1" cm="1">
        <f t="array" ref="L2284">SUMPRODUCT(([2]OUT_FinalEnergyCons!$B$4:$B$10000="var_ncap")*1,  (ISNUMBER(SEARCH("ITOT-SWHCOA*BR",[2]OUT_FinalEnergyCons!$A$4:$A$10000)))*1,[2]OUT_FinalEnergyCons!J$4:J$10000)</f>
        <v>2.74212965292348E-7</v>
      </c>
      <c r="N2284" s="1"/>
    </row>
    <row r="2285" spans="2:14" x14ac:dyDescent="0.35">
      <c r="B2285" s="5" t="str">
        <f t="shared" si="2161"/>
        <v>SPS1</v>
      </c>
      <c r="C2285" s="5" t="str">
        <f t="shared" si="2162"/>
        <v>CH</v>
      </c>
      <c r="D2285" t="s">
        <v>2419</v>
      </c>
      <c r="E2285" t="str">
        <f t="shared" si="2163"/>
        <v>GWth/yr.</v>
      </c>
      <c r="F2285" s="1">
        <f t="shared" ref="F2285:L2285" si="2175">F2286</f>
        <v>0</v>
      </c>
      <c r="G2285" s="1">
        <f t="shared" si="2175"/>
        <v>5.23059170394694E-2</v>
      </c>
      <c r="H2285" s="1">
        <f t="shared" si="2175"/>
        <v>5.6670095932726901E-6</v>
      </c>
      <c r="I2285" s="1">
        <f t="shared" si="2175"/>
        <v>1.03806483276049E-5</v>
      </c>
      <c r="J2285" s="1">
        <f t="shared" si="2175"/>
        <v>0.11262491458025201</v>
      </c>
      <c r="K2285" s="1">
        <f t="shared" si="2175"/>
        <v>8.0454865377256393E-2</v>
      </c>
      <c r="L2285" s="1">
        <f t="shared" si="2175"/>
        <v>0.257955476152882</v>
      </c>
      <c r="N2285" s="1"/>
    </row>
    <row r="2286" spans="2:14" x14ac:dyDescent="0.35">
      <c r="B2286" s="5" t="str">
        <f t="shared" si="2161"/>
        <v>SPS1</v>
      </c>
      <c r="C2286" s="5" t="str">
        <f t="shared" si="2162"/>
        <v>CH</v>
      </c>
      <c r="D2286" t="s">
        <v>2420</v>
      </c>
      <c r="E2286" t="str">
        <f t="shared" si="2163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0.11262491458025201</v>
      </c>
      <c r="K2286" s="1" cm="1">
        <f t="array" ref="K2286">SUMPRODUCT(([2]OUT_FinalEnergyCons!$B$4:$B$10000="var_ncap")*1,  (ISNUMBER(SEARCH("ITOT-SWHWOD*BR",[2]OUT_FinalEnergyCons!$A$4:$A$10000)))*1,[2]OUT_FinalEnergyCons!I$4:I$10000)</f>
        <v>8.0454865377256393E-2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0.257955476152882</v>
      </c>
      <c r="N2286" s="1"/>
    </row>
    <row r="2287" spans="2:14" x14ac:dyDescent="0.35">
      <c r="B2287" s="5" t="str">
        <f t="shared" si="2161"/>
        <v>SPS1</v>
      </c>
      <c r="C2287" s="5" t="str">
        <f t="shared" si="2162"/>
        <v>CH</v>
      </c>
      <c r="D2287" t="s">
        <v>2421</v>
      </c>
      <c r="E2287" t="str">
        <f t="shared" si="2163"/>
        <v>GWth/yr.</v>
      </c>
      <c r="F2287" s="1">
        <f t="shared" ref="F2287:L2287" si="2176">F2288</f>
        <v>0</v>
      </c>
      <c r="G2287" s="1">
        <f t="shared" si="2176"/>
        <v>8.0956226441289501E-3</v>
      </c>
      <c r="H2287" s="1">
        <f t="shared" si="2176"/>
        <v>0.134652244154258</v>
      </c>
      <c r="I2287" s="1">
        <f t="shared" si="2176"/>
        <v>5.4163774783058595E-4</v>
      </c>
      <c r="J2287" s="1">
        <f t="shared" si="2176"/>
        <v>6.9452044077117206E-2</v>
      </c>
      <c r="K2287" s="1">
        <f t="shared" si="2176"/>
        <v>0.115145711786951</v>
      </c>
      <c r="L2287" s="1">
        <f t="shared" si="2176"/>
        <v>9.8642421717542506E-2</v>
      </c>
      <c r="N2287" s="1"/>
    </row>
    <row r="2288" spans="2:14" x14ac:dyDescent="0.35">
      <c r="B2288" s="5" t="str">
        <f t="shared" si="2161"/>
        <v>SPS1</v>
      </c>
      <c r="C2288" s="5" t="str">
        <f t="shared" si="2162"/>
        <v>CH</v>
      </c>
      <c r="D2288" t="s">
        <v>2422</v>
      </c>
      <c r="E2288" t="str">
        <f t="shared" si="2163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6.9452044077117206E-2</v>
      </c>
      <c r="K2288" s="1" cm="1">
        <f t="array" ref="K2288">SUMPRODUCT(([2]OUT_FinalEnergyCons!$B$4:$B$10000="var_ncap")*1,  (ISNUMBER(SEARCH("ITOT-SWHPLT*BR",[2]OUT_FinalEnergyCons!$A$4:$A$10000)))*1,[2]OUT_FinalEnergyCons!I$4:I$10000)</f>
        <v>0.115145711786951</v>
      </c>
      <c r="L2288" s="1" cm="1">
        <f t="array" ref="L2288">SUMPRODUCT(([2]OUT_FinalEnergyCons!$B$4:$B$10000="var_ncap")*1,  (ISNUMBER(SEARCH("ITOT-SWHPLT*BR",[2]OUT_FinalEnergyCons!$A$4:$A$10000)))*1,[2]OUT_FinalEnergyCons!J$4:J$10000)</f>
        <v>9.8642421717542506E-2</v>
      </c>
      <c r="N2288" s="1"/>
    </row>
    <row r="2289" spans="2:14" x14ac:dyDescent="0.35">
      <c r="B2289" s="5" t="str">
        <f t="shared" si="2161"/>
        <v>SPS1</v>
      </c>
      <c r="C2289" s="5" t="str">
        <f t="shared" si="2162"/>
        <v>CH</v>
      </c>
      <c r="D2289" t="s">
        <v>2423</v>
      </c>
      <c r="E2289" t="str">
        <f t="shared" si="2163"/>
        <v>GWth/yr.</v>
      </c>
      <c r="F2289" s="1">
        <f t="shared" ref="F2289:L2289" si="2177">F2290</f>
        <v>0</v>
      </c>
      <c r="G2289" s="1">
        <f t="shared" si="2177"/>
        <v>1.10679194031524E-5</v>
      </c>
      <c r="H2289" s="1">
        <f t="shared" si="2177"/>
        <v>1.50749859055866E-5</v>
      </c>
      <c r="I2289" s="1">
        <f t="shared" si="2177"/>
        <v>1.63107360699864E-5</v>
      </c>
      <c r="J2289" s="1">
        <f t="shared" si="2177"/>
        <v>0.24274524701091299</v>
      </c>
      <c r="K2289" s="1">
        <f t="shared" si="2177"/>
        <v>9.0099688802590394E-2</v>
      </c>
      <c r="L2289" s="1">
        <f t="shared" si="2177"/>
        <v>1.68209343285457E-2</v>
      </c>
      <c r="N2289" s="1"/>
    </row>
    <row r="2290" spans="2:14" x14ac:dyDescent="0.35">
      <c r="B2290" s="5" t="str">
        <f t="shared" si="2161"/>
        <v>SPS1</v>
      </c>
      <c r="C2290" s="5" t="str">
        <f t="shared" si="2162"/>
        <v>CH</v>
      </c>
      <c r="D2290" t="s">
        <v>2424</v>
      </c>
      <c r="E2290" t="str">
        <f t="shared" si="2163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0.24274524701091299</v>
      </c>
      <c r="K2290" s="1" cm="1">
        <f t="array" ref="K2290">SUMPRODUCT(([2]OUT_FinalEnergyCons!$B$4:$B$10000="var_ncap")*1,  (ISNUMBER(SEARCH("ITOT-SWHWST*BR",[2]OUT_FinalEnergyCons!$A$4:$A$10000)))*1,[2]OUT_FinalEnergyCons!I$4:I$10000)</f>
        <v>9.0099688802590394E-2</v>
      </c>
      <c r="L2290" s="1" cm="1">
        <f t="array" ref="L2290">SUMPRODUCT(([2]OUT_FinalEnergyCons!$B$4:$B$10000="var_ncap")*1,  (ISNUMBER(SEARCH("ITOT-SWHWST*BR",[2]OUT_FinalEnergyCons!$A$4:$A$10000)))*1,[2]OUT_FinalEnergyCons!J$4:J$10000)</f>
        <v>1.68209343285457E-2</v>
      </c>
      <c r="N2290" s="1"/>
    </row>
    <row r="2291" spans="2:14" x14ac:dyDescent="0.35">
      <c r="B2291" s="5" t="str">
        <f t="shared" si="2161"/>
        <v>SPS1</v>
      </c>
      <c r="C2291" s="5" t="str">
        <f t="shared" si="2162"/>
        <v>CH</v>
      </c>
      <c r="D2291" t="s">
        <v>2425</v>
      </c>
      <c r="E2291" t="str">
        <f t="shared" si="2163"/>
        <v>GWth/yr.</v>
      </c>
      <c r="F2291" s="1">
        <f t="shared" ref="F2291:L2291" si="2178">F2292</f>
        <v>0</v>
      </c>
      <c r="G2291" s="1">
        <f t="shared" si="2178"/>
        <v>2.7693817312897202E-3</v>
      </c>
      <c r="H2291" s="1">
        <f t="shared" si="2178"/>
        <v>1.1872187067281E-7</v>
      </c>
      <c r="I2291" s="1">
        <f t="shared" si="2178"/>
        <v>1.04946007612354E-7</v>
      </c>
      <c r="J2291" s="1">
        <f t="shared" si="2178"/>
        <v>8.5408172927935906E-3</v>
      </c>
      <c r="K2291" s="1">
        <f t="shared" si="2178"/>
        <v>3.87758132110241E-3</v>
      </c>
      <c r="L2291" s="1">
        <f t="shared" si="2178"/>
        <v>5.9915766824222699E-3</v>
      </c>
      <c r="N2291" s="1"/>
    </row>
    <row r="2292" spans="2:14" x14ac:dyDescent="0.35">
      <c r="B2292" s="5" t="str">
        <f t="shared" si="2161"/>
        <v>SPS1</v>
      </c>
      <c r="C2292" s="5" t="str">
        <f t="shared" si="2162"/>
        <v>CH</v>
      </c>
      <c r="D2292" t="s">
        <v>2426</v>
      </c>
      <c r="E2292" t="str">
        <f t="shared" si="2163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8.5408172927935906E-3</v>
      </c>
      <c r="K2292" s="1" cm="1">
        <f t="array" ref="K2292">SUMPRODUCT(([2]OUT_FinalEnergyCons!$B$4:$B$10000="var_ncap")*1, (ISNUMBER(SEARCH("ITOT-SWHSOLBR",[2]OUT_FinalEnergyCons!$A$4:$A$10000)))*1,[2]OUT_FinalEnergyCons!I$4:I$10000)</f>
        <v>3.87758132110241E-3</v>
      </c>
      <c r="L2292" s="1" cm="1">
        <f t="array" ref="L2292">SUMPRODUCT(([2]OUT_FinalEnergyCons!$B$4:$B$10000="var_ncap")*1, (ISNUMBER(SEARCH("ITOT-SWHSOLBR",[2]OUT_FinalEnergyCons!$A$4:$A$10000)))*1,[2]OUT_FinalEnergyCons!J$4:J$10000)</f>
        <v>5.9915766824222699E-3</v>
      </c>
      <c r="N2292" s="1"/>
    </row>
    <row r="2293" spans="2:14" x14ac:dyDescent="0.35">
      <c r="B2293" s="5" t="str">
        <f t="shared" si="2161"/>
        <v>SPS1</v>
      </c>
      <c r="C2293" s="5" t="str">
        <f t="shared" si="2162"/>
        <v>CH</v>
      </c>
      <c r="D2293" t="s">
        <v>2427</v>
      </c>
      <c r="E2293" t="str">
        <f t="shared" si="2163"/>
        <v>GWth/yr.</v>
      </c>
      <c r="F2293" s="1">
        <f t="shared" ref="F2293:L2293" si="2179">F2294</f>
        <v>0</v>
      </c>
      <c r="G2293" s="1">
        <f t="shared" si="2179"/>
        <v>0</v>
      </c>
      <c r="H2293" s="1">
        <f t="shared" si="2179"/>
        <v>0</v>
      </c>
      <c r="I2293" s="1">
        <f t="shared" si="2179"/>
        <v>1.5893065445628501E-3</v>
      </c>
      <c r="J2293" s="1">
        <f t="shared" si="2179"/>
        <v>0.58126870954996901</v>
      </c>
      <c r="K2293" s="1">
        <f t="shared" si="2179"/>
        <v>5.2651453917396097E-2</v>
      </c>
      <c r="L2293" s="1">
        <f t="shared" si="2179"/>
        <v>0.35721414696327802</v>
      </c>
      <c r="N2293" s="1"/>
    </row>
    <row r="2294" spans="2:14" x14ac:dyDescent="0.35">
      <c r="B2294" s="5" t="str">
        <f t="shared" si="2161"/>
        <v>SPS1</v>
      </c>
      <c r="C2294" s="5" t="str">
        <f t="shared" si="2162"/>
        <v>CH</v>
      </c>
      <c r="D2294" t="s">
        <v>2428</v>
      </c>
      <c r="E2294" t="str">
        <f t="shared" si="2163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0.58126870954996901</v>
      </c>
      <c r="K2294" s="1" cm="1">
        <f t="array" ref="K2294">SUMPRODUCT(([2]OUT_FinalEnergyCons!$B$4:$B$10000="var_ncap")*1, (ISNUMBER(SEARCH("ITOT-SWHH2BR",[2]OUT_FinalEnergyCons!$A$4:$A$10000)))*1,[2]OUT_FinalEnergyCons!I$4:I$10000)</f>
        <v>5.2651453917396097E-2</v>
      </c>
      <c r="L2294" s="1" cm="1">
        <f t="array" ref="L2294">SUMPRODUCT(([2]OUT_FinalEnergyCons!$B$4:$B$10000="var_ncap")*1, (ISNUMBER(SEARCH("ITOT-SWHH2BR",[2]OUT_FinalEnergyCons!$A$4:$A$10000)))*1,[2]OUT_FinalEnergyCons!J$4:J$10000)</f>
        <v>0.35721414696327802</v>
      </c>
      <c r="N2294" s="1"/>
    </row>
    <row r="2295" spans="2:14" x14ac:dyDescent="0.35">
      <c r="B2295" s="9" t="str">
        <f>SPS1_SOC_Mid!B1813</f>
        <v>SPS1</v>
      </c>
      <c r="C2295" s="9" t="str">
        <f>SPS1_SOC_Mid!C1813</f>
        <v>CH</v>
      </c>
      <c r="D2295" s="2" t="s">
        <v>2429</v>
      </c>
      <c r="E2295" s="9" t="str">
        <f t="shared" si="2163"/>
        <v>GWth/yr.</v>
      </c>
      <c r="F2295" s="17">
        <f t="shared" ref="F2295:K2295" si="2180">SUM(F2296,F2299,F2301,F2305,F2307,F2309,F2311)</f>
        <v>4.3768966218653621E-5</v>
      </c>
      <c r="G2295" s="17">
        <f t="shared" si="2180"/>
        <v>6.6826352663683364E-2</v>
      </c>
      <c r="H2295" s="17">
        <f t="shared" si="2180"/>
        <v>0.20274667703661078</v>
      </c>
      <c r="I2295" s="17">
        <f t="shared" si="2180"/>
        <v>0.77422530088190589</v>
      </c>
      <c r="J2295" s="17">
        <f t="shared" si="2180"/>
        <v>1.6928063399764559</v>
      </c>
      <c r="K2295" s="17">
        <f t="shared" si="2180"/>
        <v>1.9522198159442889</v>
      </c>
      <c r="L2295" s="17">
        <f t="shared" ref="L2295" si="2181">SUM(L2296,L2299,L2301,L2305,L2307,L2309,L2311)</f>
        <v>1.957886271925668</v>
      </c>
      <c r="N2295" s="1"/>
    </row>
    <row r="2296" spans="2:14" x14ac:dyDescent="0.35">
      <c r="B2296" s="5" t="str">
        <f t="shared" ref="B2296:B2312" si="2182">B2295</f>
        <v>SPS1</v>
      </c>
      <c r="C2296" s="5" t="str">
        <f t="shared" ref="C2296:C2312" si="2183">C2295</f>
        <v>CH</v>
      </c>
      <c r="D2296" t="s">
        <v>2430</v>
      </c>
      <c r="E2296" t="str">
        <f t="shared" si="2163"/>
        <v>GWth/yr.</v>
      </c>
      <c r="F2296" s="1">
        <f t="shared" ref="F2296:K2296" si="2184">SUM(F2297:F2298)</f>
        <v>2.1335482255338987E-6</v>
      </c>
      <c r="G2296" s="1">
        <f t="shared" si="2184"/>
        <v>2.2516944776380341E-6</v>
      </c>
      <c r="H2296" s="1">
        <f t="shared" si="2184"/>
        <v>2.6905962539417299E-6</v>
      </c>
      <c r="I2296" s="1">
        <f t="shared" si="2184"/>
        <v>0.66895592803610515</v>
      </c>
      <c r="J2296" s="1">
        <f t="shared" si="2184"/>
        <v>0.71638458408373074</v>
      </c>
      <c r="K2296" s="1">
        <f t="shared" si="2184"/>
        <v>0.75330664191155527</v>
      </c>
      <c r="L2296" s="1">
        <f t="shared" ref="L2296" si="2185">SUM(L2297:L2298)</f>
        <v>1.2097104511910093</v>
      </c>
      <c r="N2296" s="1"/>
    </row>
    <row r="2297" spans="2:14" x14ac:dyDescent="0.35">
      <c r="B2297" s="5" t="str">
        <f t="shared" si="2182"/>
        <v>SPS1</v>
      </c>
      <c r="C2297" s="5" t="str">
        <f t="shared" si="2183"/>
        <v>CH</v>
      </c>
      <c r="D2297" t="s">
        <v>2431</v>
      </c>
      <c r="E2297" t="str">
        <f t="shared" si="2163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1.4419471536062701E-2</v>
      </c>
      <c r="K2297" s="1" cm="1">
        <f t="array" ref="K2297">SUMPRODUCT(([2]OUT_FinalEnergyCons!$B$4:$B$10000="var_ncap")*1, (ISNUMBER(SEARCH("SCOM-SHELCBR",[2]OUT_FinalEnergyCons!$A$4:$A$10000)))*1,[2]OUT_FinalEnergyCons!I$4:I$10000)</f>
        <v>6.6703171144002699E-3</v>
      </c>
      <c r="L2297" s="1" cm="1">
        <f t="array" ref="L2297">SUMPRODUCT(([2]OUT_FinalEnergyCons!$B$4:$B$10000="var_ncap")*1, (ISNUMBER(SEARCH("SCOM-SHELCBR",[2]OUT_FinalEnergyCons!$A$4:$A$10000)))*1,[2]OUT_FinalEnergyCons!J$4:J$10000)</f>
        <v>5.3516042222291902E-3</v>
      </c>
      <c r="N2297" s="1"/>
    </row>
    <row r="2298" spans="2:14" x14ac:dyDescent="0.35">
      <c r="B2298" s="5" t="str">
        <f t="shared" si="2182"/>
        <v>SPS1</v>
      </c>
      <c r="C2298" s="5" t="str">
        <f t="shared" si="2183"/>
        <v>CH</v>
      </c>
      <c r="D2298" t="s">
        <v>2432</v>
      </c>
      <c r="E2298" t="str">
        <f t="shared" si="2163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0.70196511254766802</v>
      </c>
      <c r="K2298" s="1" cm="1">
        <f t="array" ref="K2298">SUMPRODUCT(([2]OUT_FinalEnergyCons!$B$4:$B$10000="var_ncap")*1, (ISNUMBER(SEARCH("SCOM-SHELCHP",[2]OUT_FinalEnergyCons!$A$4:$A$10000)))*1,[2]OUT_FinalEnergyCons!I$4:I$10000)</f>
        <v>0.74663632479715503</v>
      </c>
      <c r="L2298" s="1" cm="1">
        <f t="array" ref="L2298">SUMPRODUCT(([2]OUT_FinalEnergyCons!$B$4:$B$10000="var_ncap")*1, (ISNUMBER(SEARCH("SCOM-SHELCHP",[2]OUT_FinalEnergyCons!$A$4:$A$10000)))*1,[2]OUT_FinalEnergyCons!J$4:J$10000)</f>
        <v>1.20435884696878</v>
      </c>
      <c r="N2298" s="1"/>
    </row>
    <row r="2299" spans="2:14" x14ac:dyDescent="0.35">
      <c r="B2299" s="5" t="str">
        <f t="shared" si="2182"/>
        <v>SPS1</v>
      </c>
      <c r="C2299" s="5" t="str">
        <f t="shared" si="2183"/>
        <v>CH</v>
      </c>
      <c r="D2299" t="s">
        <v>2433</v>
      </c>
      <c r="E2299" t="str">
        <f t="shared" si="2163"/>
        <v>GWth/yr.</v>
      </c>
      <c r="F2299" s="1">
        <f t="shared" ref="F2299:L2299" si="2186">F2300</f>
        <v>1.11968220439749E-6</v>
      </c>
      <c r="G2299" s="1">
        <f t="shared" si="2186"/>
        <v>1.1719577596396599E-6</v>
      </c>
      <c r="H2299" s="1">
        <f t="shared" si="2186"/>
        <v>6.13469337980842E-7</v>
      </c>
      <c r="I2299" s="1">
        <f t="shared" si="2186"/>
        <v>1.08868371249414E-6</v>
      </c>
      <c r="J2299" s="1">
        <f t="shared" si="2186"/>
        <v>0.22608212192788299</v>
      </c>
      <c r="K2299" s="1">
        <f t="shared" si="2186"/>
        <v>4.9007550167126603E-7</v>
      </c>
      <c r="L2299" s="1">
        <f t="shared" si="2186"/>
        <v>2.4603959886044098E-8</v>
      </c>
      <c r="N2299" s="1"/>
    </row>
    <row r="2300" spans="2:14" x14ac:dyDescent="0.35">
      <c r="B2300" s="5" t="str">
        <f t="shared" si="2182"/>
        <v>SPS1</v>
      </c>
      <c r="C2300" s="5" t="str">
        <f t="shared" si="2183"/>
        <v>CH</v>
      </c>
      <c r="D2300" t="s">
        <v>2434</v>
      </c>
      <c r="E2300" t="str">
        <f t="shared" ref="E2300:E2312" si="2187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0.22608212192788299</v>
      </c>
      <c r="K2300" s="1" cm="1">
        <f t="array" ref="K2300">SUMPRODUCT(([2]OUT_FinalEnergyCons!$B$4:$B$10000="var_ncap")*1,(ISNUMBER(SEARCH("SCOM-SHLFOBR",[2]OUT_FinalEnergyCons!$A$4:$A$10000)))*1,[2]OUT_FinalEnergyCons!I$4:I$10000)</f>
        <v>4.9007550167126603E-7</v>
      </c>
      <c r="L2300" s="1" cm="1">
        <f t="array" ref="L2300">SUMPRODUCT(([2]OUT_FinalEnergyCons!$B$4:$B$10000="var_ncap")*1,(ISNUMBER(SEARCH("SCOM-SHLFOBR",[2]OUT_FinalEnergyCons!$A$4:$A$10000)))*1,[2]OUT_FinalEnergyCons!J$4:J$10000)</f>
        <v>2.4603959886044098E-8</v>
      </c>
      <c r="N2300" s="1"/>
    </row>
    <row r="2301" spans="2:14" x14ac:dyDescent="0.35">
      <c r="B2301" s="5" t="str">
        <f t="shared" si="2182"/>
        <v>SPS1</v>
      </c>
      <c r="C2301" s="5" t="str">
        <f t="shared" si="2183"/>
        <v>CH</v>
      </c>
      <c r="D2301" t="s">
        <v>2435</v>
      </c>
      <c r="E2301" t="str">
        <f t="shared" si="2187"/>
        <v>GWth/yr.</v>
      </c>
      <c r="F2301" s="1">
        <f t="shared" ref="F2301:K2301" si="2188">SUM(F2302:F2304)</f>
        <v>1.5546514896302179E-6</v>
      </c>
      <c r="G2301" s="1">
        <f t="shared" si="2188"/>
        <v>5.9632490407419129E-5</v>
      </c>
      <c r="H2301" s="1">
        <f t="shared" si="2188"/>
        <v>0.13749248250839685</v>
      </c>
      <c r="I2301" s="1">
        <f t="shared" si="2188"/>
        <v>9.3091160862638078E-2</v>
      </c>
      <c r="J2301" s="1">
        <f t="shared" si="2188"/>
        <v>0.31827408428883491</v>
      </c>
      <c r="K2301" s="1">
        <f t="shared" si="2188"/>
        <v>0.81968233406143554</v>
      </c>
      <c r="L2301" s="1">
        <f t="shared" ref="L2301" si="2189">SUM(L2302:L2304)</f>
        <v>0.39209852641258491</v>
      </c>
      <c r="N2301" s="1"/>
    </row>
    <row r="2302" spans="2:14" x14ac:dyDescent="0.35">
      <c r="B2302" s="5" t="str">
        <f t="shared" si="2182"/>
        <v>SPS1</v>
      </c>
      <c r="C2302" s="5" t="str">
        <f t="shared" si="2183"/>
        <v>CH</v>
      </c>
      <c r="D2302" t="s">
        <v>2436</v>
      </c>
      <c r="E2302" t="str">
        <f t="shared" si="2187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0.246504467474435</v>
      </c>
      <c r="K2302" s="1" cm="1">
        <f t="array" ref="K2302">SUMPRODUCT(([2]OUT_FinalEnergyCons!$B$4:$B$10000="var_ncap")*1, (ISNUMBER(SEARCH("SCOM-SHNGABR",[2]OUT_FinalEnergyCons!$A$4:$A$10000)))*1,[2]OUT_FinalEnergyCons!I$4:I$10000)</f>
        <v>0.60765041676781695</v>
      </c>
      <c r="L2302" s="1" cm="1">
        <f t="array" ref="L2302">SUMPRODUCT(([2]OUT_FinalEnergyCons!$B$4:$B$10000="var_ncap")*1, (ISNUMBER(SEARCH("SCOM-SHNGABR",[2]OUT_FinalEnergyCons!$A$4:$A$10000)))*1,[2]OUT_FinalEnergyCons!J$4:J$10000)</f>
        <v>0.21395857236709701</v>
      </c>
      <c r="N2302" s="1"/>
    </row>
    <row r="2303" spans="2:14" x14ac:dyDescent="0.35">
      <c r="B2303" s="5" t="str">
        <f t="shared" si="2182"/>
        <v>SPS1</v>
      </c>
      <c r="C2303" s="5" t="str">
        <f t="shared" si="2183"/>
        <v>CH</v>
      </c>
      <c r="D2303" t="s">
        <v>2437</v>
      </c>
      <c r="E2303" t="str">
        <f t="shared" si="2187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7.1769021232961402E-2</v>
      </c>
      <c r="K2303" s="1" cm="1">
        <f t="array" ref="K2303">SUMPRODUCT(([2]OUT_FinalEnergyCons!$B$4:$B$10000="var_ncap")*1, (ISNUMBER(SEARCH("SCOM-SHngahp",[2]OUT_FinalEnergyCons!$A$4:$A$10000)))*1,[2]OUT_FinalEnergyCons!I$4:I$10000)</f>
        <v>0.212028417960476</v>
      </c>
      <c r="L2303" s="1" cm="1">
        <f t="array" ref="L2303">SUMPRODUCT(([2]OUT_FinalEnergyCons!$B$4:$B$10000="var_ncap")*1, (ISNUMBER(SEARCH("SCOM-SHngahp",[2]OUT_FinalEnergyCons!$A$4:$A$10000)))*1,[2]OUT_FinalEnergyCons!J$4:J$10000)</f>
        <v>0.17813803775586601</v>
      </c>
      <c r="N2303" s="1"/>
    </row>
    <row r="2304" spans="2:14" x14ac:dyDescent="0.35">
      <c r="B2304" s="5" t="str">
        <f t="shared" si="2182"/>
        <v>SPS1</v>
      </c>
      <c r="C2304" s="5" t="str">
        <f t="shared" si="2183"/>
        <v>CH</v>
      </c>
      <c r="D2304" t="s">
        <v>2438</v>
      </c>
      <c r="E2304" t="str">
        <f t="shared" si="2187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5.9558143849471496E-7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3.4993331425673802E-6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1.91628962189283E-6</v>
      </c>
      <c r="N2304" s="1"/>
    </row>
    <row r="2305" spans="2:14" x14ac:dyDescent="0.35">
      <c r="B2305" s="5" t="str">
        <f t="shared" si="2182"/>
        <v>SPS1</v>
      </c>
      <c r="C2305" s="5" t="str">
        <f t="shared" si="2183"/>
        <v>CH</v>
      </c>
      <c r="D2305" t="s">
        <v>2439</v>
      </c>
      <c r="E2305" t="str">
        <f t="shared" si="2187"/>
        <v>GWth/yr.</v>
      </c>
      <c r="F2305" s="1">
        <f t="shared" ref="F2305:L2305" si="2190">F2306</f>
        <v>1.39152249149453E-5</v>
      </c>
      <c r="G2305" s="1">
        <f t="shared" si="2190"/>
        <v>3.3708520827952899E-2</v>
      </c>
      <c r="H2305" s="1">
        <f t="shared" si="2190"/>
        <v>6.52490673167819E-2</v>
      </c>
      <c r="I2305" s="1">
        <f t="shared" si="2190"/>
        <v>1.7734711582830399E-6</v>
      </c>
      <c r="J2305" s="1">
        <f t="shared" si="2190"/>
        <v>0.29953679104029401</v>
      </c>
      <c r="K2305" s="1">
        <f t="shared" si="2190"/>
        <v>0.137624540081107</v>
      </c>
      <c r="L2305" s="1">
        <f t="shared" si="2190"/>
        <v>7.0209827593887303E-2</v>
      </c>
      <c r="N2305" s="1"/>
    </row>
    <row r="2306" spans="2:14" x14ac:dyDescent="0.35">
      <c r="B2306" s="5" t="str">
        <f t="shared" si="2182"/>
        <v>SPS1</v>
      </c>
      <c r="C2306" s="5" t="str">
        <f t="shared" si="2183"/>
        <v>CH</v>
      </c>
      <c r="D2306" t="s">
        <v>2440</v>
      </c>
      <c r="E2306" t="str">
        <f t="shared" si="2187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0.29953679104029401</v>
      </c>
      <c r="K2306" s="1" cm="1">
        <f t="array" ref="K2306">SUMPRODUCT(([2]OUT_FinalEnergyCons!$B$4:$B$10000="var_ncap")*1, (ISNUMBER(SEARCH("SCOM-SHWODBR",[2]OUT_FinalEnergyCons!$A$4:$A$10000)))*1,[2]OUT_FinalEnergyCons!I$4:I$10000)</f>
        <v>0.137624540081107</v>
      </c>
      <c r="L2306" s="1" cm="1">
        <f t="array" ref="L2306">SUMPRODUCT(([2]OUT_FinalEnergyCons!$B$4:$B$10000="var_ncap")*1, (ISNUMBER(SEARCH("SCOM-SHWODBR",[2]OUT_FinalEnergyCons!$A$4:$A$10000)))*1,[2]OUT_FinalEnergyCons!J$4:J$10000)</f>
        <v>7.0209827593887303E-2</v>
      </c>
      <c r="N2306" s="1"/>
    </row>
    <row r="2307" spans="2:14" x14ac:dyDescent="0.35">
      <c r="B2307" s="5" t="str">
        <f t="shared" si="2182"/>
        <v>SPS1</v>
      </c>
      <c r="C2307" s="5" t="str">
        <f t="shared" si="2183"/>
        <v>CH</v>
      </c>
      <c r="D2307" t="s">
        <v>2441</v>
      </c>
      <c r="E2307" t="str">
        <f t="shared" si="2187"/>
        <v>GWth/yr.</v>
      </c>
      <c r="F2307" s="1">
        <f t="shared" ref="F2307:L2307" si="2191">F2308</f>
        <v>1.3427475699275099E-6</v>
      </c>
      <c r="G2307" s="1">
        <f t="shared" si="2191"/>
        <v>2.4292252916517602E-2</v>
      </c>
      <c r="H2307" s="1">
        <f t="shared" si="2191"/>
        <v>4.8130899862094596E-7</v>
      </c>
      <c r="I2307" s="1">
        <f t="shared" si="2191"/>
        <v>1.99203626087357E-6</v>
      </c>
      <c r="J2307" s="1">
        <f t="shared" si="2191"/>
        <v>3.9131516665396701E-2</v>
      </c>
      <c r="K2307" s="1">
        <f t="shared" si="2191"/>
        <v>3.9657855771830897E-2</v>
      </c>
      <c r="L2307" s="1">
        <f t="shared" si="2191"/>
        <v>2.2236547288380398E-2</v>
      </c>
      <c r="N2307" s="1"/>
    </row>
    <row r="2308" spans="2:14" x14ac:dyDescent="0.35">
      <c r="B2308" s="5" t="str">
        <f t="shared" si="2182"/>
        <v>SPS1</v>
      </c>
      <c r="C2308" s="5" t="str">
        <f t="shared" si="2183"/>
        <v>CH</v>
      </c>
      <c r="D2308" t="s">
        <v>2442</v>
      </c>
      <c r="E2308" t="str">
        <f t="shared" si="2187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3.9131516665396701E-2</v>
      </c>
      <c r="K2308" s="1" cm="1">
        <f t="array" ref="K2308">SUMPRODUCT(([2]OUT_FinalEnergyCons!$B$4:$B$10000="var_ncap")*1,(ISNUMBER(SEARCH("SCOM-SHPLTBR",[2]OUT_FinalEnergyCons!$A$4:$A$10000)))*1,[2]OUT_FinalEnergyCons!I$4:I$10000)</f>
        <v>3.9657855771830897E-2</v>
      </c>
      <c r="L2308" s="1" cm="1">
        <f t="array" ref="L2308">SUMPRODUCT(([2]OUT_FinalEnergyCons!$B$4:$B$10000="var_ncap")*1,(ISNUMBER(SEARCH("SCOM-SHPLTBR",[2]OUT_FinalEnergyCons!$A$4:$A$10000)))*1,[2]OUT_FinalEnergyCons!J$4:J$10000)</f>
        <v>2.2236547288380398E-2</v>
      </c>
      <c r="N2308" s="1"/>
    </row>
    <row r="2309" spans="2:14" x14ac:dyDescent="0.35">
      <c r="B2309" s="5" t="str">
        <f t="shared" si="2182"/>
        <v>SPS1</v>
      </c>
      <c r="C2309" s="5" t="str">
        <f t="shared" si="2183"/>
        <v>CH</v>
      </c>
      <c r="D2309" t="s">
        <v>2443</v>
      </c>
      <c r="E2309" t="str">
        <f t="shared" si="2187"/>
        <v>GWth/yr.</v>
      </c>
      <c r="F2309" s="1">
        <f t="shared" ref="F2309:L2309" si="2192">F2310</f>
        <v>2.3703111814219199E-5</v>
      </c>
      <c r="G2309" s="1">
        <f t="shared" si="2192"/>
        <v>8.7625227765681692E-3</v>
      </c>
      <c r="H2309" s="1">
        <f t="shared" si="2192"/>
        <v>1.3418368414647999E-6</v>
      </c>
      <c r="I2309" s="1">
        <f t="shared" si="2192"/>
        <v>1.2172349926249E-2</v>
      </c>
      <c r="J2309" s="1">
        <f t="shared" si="2192"/>
        <v>9.3396242967293694E-2</v>
      </c>
      <c r="K2309" s="1">
        <f t="shared" si="2192"/>
        <v>6.0084515795404601E-2</v>
      </c>
      <c r="L2309" s="1">
        <f t="shared" si="2192"/>
        <v>0.107469509582756</v>
      </c>
      <c r="N2309" s="1"/>
    </row>
    <row r="2310" spans="2:14" x14ac:dyDescent="0.35">
      <c r="B2310" s="5" t="str">
        <f t="shared" si="2182"/>
        <v>SPS1</v>
      </c>
      <c r="C2310" s="5" t="str">
        <f t="shared" si="2183"/>
        <v>CH</v>
      </c>
      <c r="D2310" t="s">
        <v>2444</v>
      </c>
      <c r="E2310" t="str">
        <f t="shared" si="2187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9.3396242967293694E-2</v>
      </c>
      <c r="K2310" s="1" cm="1">
        <f t="array" ref="K2310">SUMPRODUCT(([2]OUT_FinalEnergyCons!$B$4:$B$10000="var_ncap")*1, (ISNUMBER(SEARCH("SCOM-SHSOLBR",[2]OUT_FinalEnergyCons!$A$4:$A$10000)))*1,[2]OUT_FinalEnergyCons!I$4:I$10000)</f>
        <v>6.0084515795404601E-2</v>
      </c>
      <c r="L2310" s="1" cm="1">
        <f t="array" ref="L2310">SUMPRODUCT(([2]OUT_FinalEnergyCons!$B$4:$B$10000="var_ncap")*1, (ISNUMBER(SEARCH("SCOM-SHSOLBR",[2]OUT_FinalEnergyCons!$A$4:$A$10000)))*1,[2]OUT_FinalEnergyCons!J$4:J$10000)</f>
        <v>0.107469509582756</v>
      </c>
      <c r="N2310" s="1"/>
    </row>
    <row r="2311" spans="2:14" x14ac:dyDescent="0.35">
      <c r="B2311" s="5" t="str">
        <f t="shared" si="2182"/>
        <v>SPS1</v>
      </c>
      <c r="C2311" s="5" t="str">
        <f t="shared" si="2183"/>
        <v>CH</v>
      </c>
      <c r="D2311" t="s">
        <v>2445</v>
      </c>
      <c r="E2311" t="str">
        <f t="shared" si="2187"/>
        <v>GWth/yr.</v>
      </c>
      <c r="F2311" s="1">
        <f t="shared" ref="F2311:L2311" si="2193">F2312</f>
        <v>0</v>
      </c>
      <c r="G2311" s="1">
        <f t="shared" si="2193"/>
        <v>0</v>
      </c>
      <c r="H2311" s="1">
        <f t="shared" si="2193"/>
        <v>0</v>
      </c>
      <c r="I2311" s="1">
        <f t="shared" si="2193"/>
        <v>1.0078657820408E-6</v>
      </c>
      <c r="J2311" s="1">
        <f t="shared" si="2193"/>
        <v>9.9900302289173304E-7</v>
      </c>
      <c r="K2311" s="1">
        <f t="shared" si="2193"/>
        <v>0.14186343824745401</v>
      </c>
      <c r="L2311" s="1">
        <f t="shared" si="2193"/>
        <v>0.15616138525309001</v>
      </c>
      <c r="N2311" s="1"/>
    </row>
    <row r="2312" spans="2:14" x14ac:dyDescent="0.35">
      <c r="B2312" s="5" t="str">
        <f t="shared" si="2182"/>
        <v>SPS1</v>
      </c>
      <c r="C2312" s="5" t="str">
        <f t="shared" si="2183"/>
        <v>CH</v>
      </c>
      <c r="D2312" t="s">
        <v>2446</v>
      </c>
      <c r="E2312" t="str">
        <f t="shared" si="2187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9.9900302289173304E-7</v>
      </c>
      <c r="K2312" s="1" cm="1">
        <f t="array" ref="K2312">SUMPRODUCT(([2]OUT_FinalEnergyCons!$B$4:$B$10000="var_ncap")*1, (ISNUMBER(SEARCH("SCOM-SHH2BR",[2]OUT_FinalEnergyCons!$A$4:$A$10000)))*1,[2]OUT_FinalEnergyCons!I$4:I$10000)</f>
        <v>0.14186343824745401</v>
      </c>
      <c r="L2312" s="1" cm="1">
        <f t="array" ref="L2312">SUMPRODUCT(([2]OUT_FinalEnergyCons!$B$4:$B$10000="var_ncap")*1, (ISNUMBER(SEARCH("SCOM-SHH2BR",[2]OUT_FinalEnergyCons!$A$4:$A$10000)))*1,[2]OUT_FinalEnergyCons!J$4:J$10000)</f>
        <v>0.15616138525309001</v>
      </c>
      <c r="N2312" s="1"/>
    </row>
    <row r="2313" spans="2:14" x14ac:dyDescent="0.35">
      <c r="B2313" s="5" t="str">
        <f>SPS1_SOC_Mid!B2021</f>
        <v>SPS1</v>
      </c>
      <c r="C2313" s="5" t="str">
        <f>SPS1_SOC_Mid!C2021</f>
        <v>CH</v>
      </c>
      <c r="D2313" s="2" t="s">
        <v>2448</v>
      </c>
      <c r="E2313" s="2" t="s">
        <v>2154</v>
      </c>
      <c r="F2313" s="3">
        <f t="shared" ref="F2313:K2313" si="2194">SUM(F2314,F2318,F2321)</f>
        <v>3.4586691996665701E-4</v>
      </c>
      <c r="G2313" s="3">
        <f t="shared" si="2194"/>
        <v>4.1149724843639099E-5</v>
      </c>
      <c r="H2313" s="3">
        <f t="shared" si="2194"/>
        <v>7.8113111339704708E-6</v>
      </c>
      <c r="I2313" s="3">
        <f t="shared" si="2194"/>
        <v>1.1752796014901938E-2</v>
      </c>
      <c r="J2313" s="3">
        <f t="shared" si="2194"/>
        <v>0.32124514907949087</v>
      </c>
      <c r="K2313" s="3">
        <f t="shared" si="2194"/>
        <v>0.72474869288338584</v>
      </c>
      <c r="L2313" s="3">
        <f t="shared" ref="L2313" si="2195">SUM(L2314,L2318,L2321)</f>
        <v>0.74123888593768683</v>
      </c>
      <c r="N2313" s="1"/>
    </row>
    <row r="2314" spans="2:14" x14ac:dyDescent="0.35">
      <c r="B2314" s="5" t="str">
        <f t="shared" ref="B2314:B2340" si="2196">B2313</f>
        <v>SPS1</v>
      </c>
      <c r="C2314" s="5" t="str">
        <f t="shared" ref="C2314:C2340" si="2197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0.32124505900234473</v>
      </c>
      <c r="K2314" s="1" cm="1">
        <f t="array" ref="K2314">SUMPRODUCT(ISNUMBER(SEARCH("SUP_ELCH2*",[2]OUT_SyntheticFuels!$C$4:$C$1000))*1,("var_ncap"=[2]OUT_SyntheticFuels!$B$4:$B$1000)*1,[2]OUT_SyntheticFuels!J$4:J$1000)</f>
        <v>0.7247485551213344</v>
      </c>
      <c r="L2314" s="1" cm="1">
        <f t="array" ref="L2314">SUMPRODUCT(ISNUMBER(SEARCH("SUP_ELCH2*",[2]OUT_SyntheticFuels!$C$4:$C$1000))*1,("var_ncap"=[2]OUT_SyntheticFuels!$B$4:$B$1000)*1,[2]OUT_SyntheticFuels!K$4:K$1000)</f>
        <v>0.7412208855959963</v>
      </c>
      <c r="N2314" s="1"/>
    </row>
    <row r="2315" spans="2:14" x14ac:dyDescent="0.35">
      <c r="B2315" s="5" t="str">
        <f t="shared" si="2196"/>
        <v>SPS1</v>
      </c>
      <c r="C2315" s="5" t="str">
        <f t="shared" si="2197"/>
        <v>CH</v>
      </c>
      <c r="D2315" t="s">
        <v>2450</v>
      </c>
      <c r="E2315" t="s">
        <v>2154</v>
      </c>
      <c r="F2315" s="1">
        <f t="shared" ref="F2315:K2315" si="2198">F2314-F2316-F2317</f>
        <v>3.4586691996665701E-4</v>
      </c>
      <c r="G2315" s="1">
        <f t="shared" si="2198"/>
        <v>4.1149724843639099E-5</v>
      </c>
      <c r="H2315" s="1">
        <f t="shared" si="2198"/>
        <v>7.8113111339704708E-6</v>
      </c>
      <c r="I2315" s="1">
        <f t="shared" si="2198"/>
        <v>1.1744110999406501E-2</v>
      </c>
      <c r="J2315" s="1">
        <f t="shared" si="2198"/>
        <v>0.32124398040921198</v>
      </c>
      <c r="K2315" s="1">
        <f t="shared" si="2198"/>
        <v>0.56741607483513601</v>
      </c>
      <c r="L2315" s="1">
        <f t="shared" ref="L2315" si="2199">L2314-L2316-L2317</f>
        <v>0.73207607537335295</v>
      </c>
      <c r="N2315" s="1"/>
    </row>
    <row r="2316" spans="2:14" x14ac:dyDescent="0.35">
      <c r="B2316" s="5" t="str">
        <f t="shared" si="2196"/>
        <v>SPS1</v>
      </c>
      <c r="C2316" s="5" t="str">
        <f t="shared" si="2197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1.0785931327369E-6</v>
      </c>
      <c r="K2316" s="1" cm="1">
        <f t="array" ref="K2316">SUMPRODUCT(ISNUMBER(SEARCH("SUP_ELCH2*D",[2]OUT_SyntheticFuels!$C$4:$C$1000))*1,("var_ncap"=[2]OUT_SyntheticFuels!$B$4:$B$1000)*1,[2]OUT_SyntheticFuels!J$4:J$1000)</f>
        <v>0.15728371240476099</v>
      </c>
      <c r="L2316" s="1" cm="1">
        <f t="array" ref="L2316">SUMPRODUCT(ISNUMBER(SEARCH("SUP_ELCH2*D",[2]OUT_SyntheticFuels!$C$4:$C$1000))*1,("var_ncap"=[2]OUT_SyntheticFuels!$B$4:$B$1000)*1,[2]OUT_SyntheticFuels!K$4:K$1000)</f>
        <v>9.1333580698164003E-3</v>
      </c>
      <c r="N2316" s="1"/>
    </row>
    <row r="2317" spans="2:14" x14ac:dyDescent="0.35">
      <c r="B2317" s="5" t="str">
        <f t="shared" si="2196"/>
        <v>SPS1</v>
      </c>
      <c r="C2317" s="5" t="str">
        <f t="shared" si="2197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4.8767881437384903E-5</v>
      </c>
      <c r="L2317" s="1" cm="1">
        <f t="array" ref="L2317">SUMPRODUCT(ISNUMBER(SEARCH("SUP_ELCH2*SOEC*",[2]OUT_SyntheticFuels!$C$4:$C$1000))*1,("var_ncap"=[2]OUT_SyntheticFuels!$B$4:$B$1000)*1,[2]OUT_SyntheticFuels!K$4:K$1000)</f>
        <v>1.1452152826945001E-5</v>
      </c>
      <c r="N2317" s="1"/>
    </row>
    <row r="2318" spans="2:14" x14ac:dyDescent="0.35">
      <c r="B2318" s="5" t="str">
        <f t="shared" si="2196"/>
        <v>SPS1</v>
      </c>
      <c r="C2318" s="5" t="str">
        <f t="shared" si="2197"/>
        <v>CH</v>
      </c>
      <c r="D2318" t="s">
        <v>2453</v>
      </c>
      <c r="E2318" t="s">
        <v>2154</v>
      </c>
      <c r="F2318" s="1">
        <f t="shared" ref="F2318:K2318" si="2200">SUM(F2319:F2320)</f>
        <v>0</v>
      </c>
      <c r="G2318" s="1">
        <f t="shared" si="2200"/>
        <v>0</v>
      </c>
      <c r="H2318" s="1">
        <f t="shared" si="2200"/>
        <v>0</v>
      </c>
      <c r="I2318" s="1">
        <f t="shared" si="2200"/>
        <v>6.0938509311960398E-7</v>
      </c>
      <c r="J2318" s="1">
        <f t="shared" si="2200"/>
        <v>9.0077146123072901E-8</v>
      </c>
      <c r="K2318" s="1">
        <f t="shared" si="2200"/>
        <v>1.3776205140034108E-7</v>
      </c>
      <c r="L2318" s="1">
        <f t="shared" ref="L2318" si="2201">SUM(L2319:L2320)</f>
        <v>1.800034169049845E-5</v>
      </c>
      <c r="N2318" s="1"/>
    </row>
    <row r="2319" spans="2:14" x14ac:dyDescent="0.35">
      <c r="B2319" s="5" t="str">
        <f t="shared" si="2196"/>
        <v>SPS1</v>
      </c>
      <c r="C2319" s="5" t="str">
        <f t="shared" si="2197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9.0077146123072901E-8</v>
      </c>
      <c r="K2319" s="1" cm="1">
        <f t="array" ref="K2319">SUMPRODUCT(ISNUMBER(SEARCH("SUP_NGAH2",[2]OUT_SyntheticFuels!$C$4:$C$1000))*1,("var_ncap"=[2]OUT_SyntheticFuels!$B$4:$B$1000)*1,[2]OUT_SyntheticFuels!J$4:J$1000)-K2320</f>
        <v>9.5280587736237083E-8</v>
      </c>
      <c r="L2319" s="1" cm="1">
        <f t="array" ref="L2319">SUMPRODUCT(ISNUMBER(SEARCH("SUP_NGAH2",[2]OUT_SyntheticFuels!$C$4:$C$1000))*1,("var_ncap"=[2]OUT_SyntheticFuels!$B$4:$B$1000)*1,[2]OUT_SyntheticFuels!K$4:K$1000)-L2320</f>
        <v>9.5244350733456202E-6</v>
      </c>
      <c r="N2319" s="1"/>
    </row>
    <row r="2320" spans="2:14" x14ac:dyDescent="0.35">
      <c r="B2320" s="5" t="str">
        <f t="shared" si="2196"/>
        <v>SPS1</v>
      </c>
      <c r="C2320" s="5" t="str">
        <f t="shared" si="2197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4.2481463664104E-8</v>
      </c>
      <c r="L2320" s="1" cm="1">
        <f t="array" ref="L2320">SUMPRODUCT(ISNUMBER(SEARCH("SUP_NGAH2CCS",[2]OUT_SyntheticFuels!$C$4:$C$1000))*1,("var_ncap"=[2]OUT_SyntheticFuels!$B$4:$B$1000)*1,[2]OUT_SyntheticFuels!K$4:K$1000)</f>
        <v>8.4759066171528295E-6</v>
      </c>
      <c r="N2320" s="1"/>
    </row>
    <row r="2321" spans="2:14" x14ac:dyDescent="0.35">
      <c r="B2321" s="5" t="str">
        <f t="shared" si="2196"/>
        <v>SPS1</v>
      </c>
      <c r="C2321" s="5" t="str">
        <f t="shared" si="2197"/>
        <v>CH</v>
      </c>
      <c r="D2321" t="s">
        <v>2456</v>
      </c>
      <c r="E2321" t="s">
        <v>2154</v>
      </c>
      <c r="F2321" s="1">
        <f t="shared" ref="F2321:K2321" si="2202">SUM(F2322:F2323)</f>
        <v>0</v>
      </c>
      <c r="G2321" s="1">
        <f t="shared" si="2202"/>
        <v>0</v>
      </c>
      <c r="H2321" s="1">
        <f t="shared" si="2202"/>
        <v>0</v>
      </c>
      <c r="I2321" s="1">
        <f t="shared" si="2202"/>
        <v>0</v>
      </c>
      <c r="J2321" s="1">
        <f t="shared" si="2202"/>
        <v>0</v>
      </c>
      <c r="K2321" s="1">
        <f t="shared" si="2202"/>
        <v>0</v>
      </c>
      <c r="L2321" s="1">
        <f t="shared" ref="L2321" si="2203">SUM(L2322:L2323)</f>
        <v>0</v>
      </c>
      <c r="N2321" s="1"/>
    </row>
    <row r="2322" spans="2:14" x14ac:dyDescent="0.35">
      <c r="B2322" s="5" t="str">
        <f t="shared" si="2196"/>
        <v>SPS1</v>
      </c>
      <c r="C2322" s="5" t="str">
        <f t="shared" si="2197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6"/>
        <v>SPS1</v>
      </c>
      <c r="C2323" s="5" t="str">
        <f t="shared" si="2197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6"/>
        <v>SPS1</v>
      </c>
      <c r="C2324" s="5" t="str">
        <f t="shared" si="2197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6"/>
        <v>SPS1</v>
      </c>
      <c r="C2325" s="5" t="str">
        <f t="shared" si="2197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1.7292056605685801E-6</v>
      </c>
      <c r="K2325" s="7" cm="1">
        <f t="array" ref="K2325">SUMPRODUCT(("CT_CWODBDS"=[2]OUT_SyntheticFuels!$C$4:$C$1000)*1,("var_ncap"=[2]OUT_SyntheticFuels!$B$4:$B$1000)*1,[2]OUT_SyntheticFuels!J$4:J$1000)</f>
        <v>6.7637728118472397E-7</v>
      </c>
      <c r="L2325" s="7" cm="1">
        <f t="array" ref="L2325">SUMPRODUCT(("CT_CWODBDS"=[2]OUT_SyntheticFuels!$C$4:$C$1000)*1,("var_ncap"=[2]OUT_SyntheticFuels!$B$4:$B$1000)*1,[2]OUT_SyntheticFuels!K$4:K$1000)</f>
        <v>4.42778867320692E-8</v>
      </c>
      <c r="N2325" s="1"/>
    </row>
    <row r="2326" spans="2:14" x14ac:dyDescent="0.35">
      <c r="B2326" s="5" t="str">
        <f t="shared" si="2196"/>
        <v>SPS1</v>
      </c>
      <c r="C2326" s="5" t="str">
        <f t="shared" si="2197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6"/>
        <v>SPS1</v>
      </c>
      <c r="C2327" s="5" t="str">
        <f t="shared" si="2197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5.0700356310228198E-8</v>
      </c>
      <c r="K2327" s="7" cm="1">
        <f t="array" ref="K2327">SUMPRODUCT(("CT_CWODETH"=[2]OUT_SyntheticFuels!$C$4:$C$1000)*1,("var_ncap"=[2]OUT_SyntheticFuels!$B$4:$B$1000)*1,[2]OUT_SyntheticFuels!J$4:J$1000)</f>
        <v>6.6503772761979205E-7</v>
      </c>
      <c r="L2327" s="7" cm="1">
        <f t="array" ref="L2327">SUMPRODUCT(("CT_CWODETH"=[2]OUT_SyntheticFuels!$C$4:$C$1000)*1,("var_ncap"=[2]OUT_SyntheticFuels!$B$4:$B$1000)*1,[2]OUT_SyntheticFuels!K$4:K$1000)</f>
        <v>7.5610037368562704E-7</v>
      </c>
      <c r="N2327" s="1"/>
    </row>
    <row r="2328" spans="2:14" x14ac:dyDescent="0.35">
      <c r="B2328" s="5" t="str">
        <f t="shared" si="2196"/>
        <v>SPS1</v>
      </c>
      <c r="C2328" s="5" t="str">
        <f t="shared" si="2197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6"/>
        <v>SPS1</v>
      </c>
      <c r="C2329" s="5" t="str">
        <f t="shared" si="2197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4.2415258842474802E-7</v>
      </c>
      <c r="K2329" s="7" cm="1">
        <f t="array" ref="K2329">SUMPRODUCT(("SUP_MNRBIO"=[2]OUT_SyntheticFuels!$C$4:$C$1000)*1,("var_ncap"=[2]OUT_SyntheticFuels!$B$4:$B$1000)*1,[2]OUT_SyntheticFuels!J$4:J$1000)</f>
        <v>9.6704909820517396E-2</v>
      </c>
      <c r="L2329" s="7" cm="1">
        <f t="array" ref="L2329">SUMPRODUCT(("SUP_MNRBIO"=[2]OUT_SyntheticFuels!$C$4:$C$1000)*1,("var_ncap"=[2]OUT_SyntheticFuels!$B$4:$B$1000)*1,[2]OUT_SyntheticFuels!K$4:K$1000)</f>
        <v>0.250576564973018</v>
      </c>
      <c r="N2329" s="1"/>
    </row>
    <row r="2330" spans="2:14" x14ac:dyDescent="0.35">
      <c r="B2330" s="5" t="str">
        <f t="shared" si="2196"/>
        <v>SPS1</v>
      </c>
      <c r="C2330" s="5" t="str">
        <f t="shared" si="2197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0.14829520102683</v>
      </c>
      <c r="K2330" s="7" cm="1">
        <f t="array" ref="K2330">SUMPRODUCT(("SUP_WSTBIO"=[2]OUT_SyntheticFuels!$C$4:$C$1000)*1,("var_ncap"=[2]OUT_SyntheticFuels!$B$4:$B$1000)*1,[2]OUT_SyntheticFuels!J$4:J$1000)</f>
        <v>1.3824536042163601E-2</v>
      </c>
      <c r="L2330" s="7" cm="1">
        <f t="array" ref="L2330">SUMPRODUCT(("SUP_WSTBIO"=[2]OUT_SyntheticFuels!$C$4:$C$1000)*1,("var_ncap"=[2]OUT_SyntheticFuels!$B$4:$B$1000)*1,[2]OUT_SyntheticFuels!K$4:K$1000)</f>
        <v>0.107585891204994</v>
      </c>
      <c r="N2330" s="1"/>
    </row>
    <row r="2331" spans="2:14" x14ac:dyDescent="0.35">
      <c r="B2331" s="5" t="str">
        <f t="shared" si="2196"/>
        <v>SPS1</v>
      </c>
      <c r="C2331" s="5" t="str">
        <f t="shared" si="2197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6"/>
        <v>SPS1</v>
      </c>
      <c r="C2332" s="5" t="str">
        <f t="shared" si="2197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1.9873006242676401E-6</v>
      </c>
      <c r="L2332" s="7" cm="1">
        <f t="array" ref="L2332">SUMPRODUCT(("SUP_WSTHTGBIO"=[2]OUT_SyntheticFuels!$C$4:$C$1000)*1,("var_ncap"=[2]OUT_SyntheticFuels!$B$4:$B$1000)*1,[2]OUT_SyntheticFuels!K$4:K$1000)</f>
        <v>1.38665737615241E-8</v>
      </c>
      <c r="N2332" s="1"/>
    </row>
    <row r="2333" spans="2:14" x14ac:dyDescent="0.35">
      <c r="B2333" s="5" t="str">
        <f t="shared" si="2196"/>
        <v>SPS1</v>
      </c>
      <c r="C2333" s="5" t="str">
        <f t="shared" si="2197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6"/>
        <v>SPS1</v>
      </c>
      <c r="C2334" s="5" t="str">
        <f t="shared" si="2197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1.4368839557779101E-6</v>
      </c>
      <c r="K2334" s="7" cm="1">
        <f t="array" ref="K2334">SUMPRODUCT(("SUP_WODBIO"=[2]OUT_SyntheticFuels!$C$4:$C$1000)*1,("var_ncap"=[2]OUT_SyntheticFuels!$B$4:$B$1000)*1,[2]OUT_SyntheticFuels!J$4:J$1000)</f>
        <v>9.0147768519370597E-7</v>
      </c>
      <c r="L2334" s="7" cm="1">
        <f t="array" ref="L2334">SUMPRODUCT(("SUP_WODBIO"=[2]OUT_SyntheticFuels!$C$4:$C$1000)*1,("var_ncap"=[2]OUT_SyntheticFuels!$B$4:$B$1000)*1,[2]OUT_SyntheticFuels!K$4:K$1000)</f>
        <v>1.5932228621380699E-6</v>
      </c>
      <c r="N2334" s="1"/>
    </row>
    <row r="2335" spans="2:14" x14ac:dyDescent="0.35">
      <c r="B2335" s="5" t="str">
        <f t="shared" si="2196"/>
        <v>SPS1</v>
      </c>
      <c r="C2335" s="5" t="str">
        <f t="shared" si="2197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6"/>
        <v>SPS1</v>
      </c>
      <c r="C2336" s="5" t="str">
        <f t="shared" si="2197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1.03895128919168E-7</v>
      </c>
      <c r="K2336" s="7" cm="1">
        <f t="array" ref="K2336">SUMPRODUCT(("SUP_BIONGA"=[2]OUT_SyntheticFuels!$C$4:$C$1000)*1,("var_ncap"=[2]OUT_SyntheticFuels!$B$4:$B$1000)*1,[2]OUT_SyntheticFuels!J$4:J$1000)</f>
        <v>5.28871868057443E-2</v>
      </c>
      <c r="L2336" s="7" cm="1">
        <f t="array" ref="L2336">SUMPRODUCT(("SUP_BIONGA"=[2]OUT_SyntheticFuels!$C$4:$C$1000)*1,("var_ncap"=[2]OUT_SyntheticFuels!$B$4:$B$1000)*1,[2]OUT_SyntheticFuels!K$4:K$1000)</f>
        <v>5.0808808687129003E-2</v>
      </c>
      <c r="N2336" s="1"/>
    </row>
    <row r="2337" spans="2:14" x14ac:dyDescent="0.35">
      <c r="B2337" s="5" t="str">
        <f t="shared" si="2196"/>
        <v>SPS1</v>
      </c>
      <c r="C2337" s="5" t="str">
        <f t="shared" si="2197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7.2755088772240406E-2</v>
      </c>
      <c r="K2337" s="7" cm="1">
        <f t="array" ref="K2337">SUMPRODUCT(("CT_CWODPLT"=[2]OUT_SyntheticFuels!$C$4:$C$1000)*1,("var_ncap"=[2]OUT_SyntheticFuels!$B$4:$B$1000)*1,[2]OUT_SyntheticFuels!J$4:J$1000)</f>
        <v>0.15464986489538399</v>
      </c>
      <c r="L2337" s="7" cm="1">
        <f t="array" ref="L2337">SUMPRODUCT(("CT_CWODPLT"=[2]OUT_SyntheticFuels!$C$4:$C$1000)*1,("var_ncap"=[2]OUT_SyntheticFuels!$B$4:$B$1000)*1,[2]OUT_SyntheticFuels!K$4:K$1000)</f>
        <v>7.6925750905090698E-2</v>
      </c>
      <c r="N2337" s="1"/>
    </row>
    <row r="2338" spans="2:14" x14ac:dyDescent="0.35">
      <c r="B2338" s="5" t="str">
        <f t="shared" si="2196"/>
        <v>SPS1</v>
      </c>
      <c r="C2338" s="5" t="str">
        <f t="shared" si="2197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1.86795625612329E-7</v>
      </c>
      <c r="K2338" s="7" cm="1">
        <f t="array" ref="K2338">SUMPRODUCT(("SUP_H2NGA"=[2]OUT_SyntheticFuels!$C$4:$C$1000)*1,("var_ncap"=[2]OUT_SyntheticFuels!$B$4:$B$1000)*1,[2]OUT_SyntheticFuels!J$4:J$1000)</f>
        <v>1.6572955142506299E-5</v>
      </c>
      <c r="L2338" s="7" cm="1">
        <f t="array" ref="L2338">SUMPRODUCT(("SUP_H2NGA"=[2]OUT_SyntheticFuels!$C$4:$C$1000)*1,("var_ncap"=[2]OUT_SyntheticFuels!$B$4:$B$1000)*1,[2]OUT_SyntheticFuels!K$4:K$1000)</f>
        <v>1.91072082786184E-5</v>
      </c>
      <c r="N2338" s="1"/>
    </row>
    <row r="2339" spans="2:14" x14ac:dyDescent="0.35">
      <c r="B2339" s="5" t="str">
        <f t="shared" si="2196"/>
        <v>SPS1</v>
      </c>
      <c r="C2339" s="5" t="str">
        <f t="shared" si="2197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3.0091242834576899E-7</v>
      </c>
      <c r="K2339" s="7" cm="1">
        <f t="array" ref="K2339">SUMPRODUCT(("SUP_H2DSL"=[2]OUT_SyntheticFuels!$C$4:$C$1000)*1,("var_ncap"=[2]OUT_SyntheticFuels!$B$4:$B$1000)*1,[2]OUT_SyntheticFuels!J$4:J$1000)</f>
        <v>6.0739634710225197E-5</v>
      </c>
      <c r="L2339" s="7" cm="1">
        <f t="array" ref="L2339">SUMPRODUCT(("SUP_H2DSL"=[2]OUT_SyntheticFuels!$C$4:$C$1000)*1,("var_ncap"=[2]OUT_SyntheticFuels!$B$4:$B$1000)*1,[2]OUT_SyntheticFuels!K$4:K$1000)</f>
        <v>1.16568467709743E-2</v>
      </c>
      <c r="N2339" s="1"/>
    </row>
    <row r="2340" spans="2:14" x14ac:dyDescent="0.35">
      <c r="B2340" s="5" t="str">
        <f t="shared" si="2196"/>
        <v>SPS1</v>
      </c>
      <c r="C2340" s="5" t="str">
        <f t="shared" si="2197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2.7293752059003999E-7</v>
      </c>
      <c r="K2340" s="7" cm="1">
        <f t="array" ref="K2340">SUMPRODUCT(("SUP_H2GSL"=[2]OUT_SyntheticFuels!$C$4:$C$1000)*1,("var_ncap"=[2]OUT_SyntheticFuels!$B$4:$B$1000)*1,[2]OUT_SyntheticFuels!J$4:J$1000)</f>
        <v>3.4046009552843202E-5</v>
      </c>
      <c r="L2340" s="7" cm="1">
        <f t="array" ref="L2340">SUMPRODUCT(("SUP_H2GSL"=[2]OUT_SyntheticFuels!$C$4:$C$1000)*1,("var_ncap"=[2]OUT_SyntheticFuels!$B$4:$B$1000)*1,[2]OUT_SyntheticFuels!K$4:K$1000)</f>
        <v>1.0562861949125601E-2</v>
      </c>
      <c r="N2340" s="1"/>
    </row>
  </sheetData>
  <autoFilter ref="A1:L2340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574.07234838700219</v>
      </c>
      <c r="H3" s="3">
        <f t="shared" si="0"/>
        <v>545.06244401423533</v>
      </c>
    </row>
    <row r="4" spans="2:8" x14ac:dyDescent="0.35">
      <c r="B4" s="25" t="s">
        <v>1727</v>
      </c>
      <c r="C4" s="1">
        <f>SPS1_SOC_Mid!F763</f>
        <v>142.21747231569131</v>
      </c>
      <c r="D4" s="1">
        <f>SPS1_SOC_Mid!G763</f>
        <v>142.38203408666604</v>
      </c>
      <c r="E4" s="1">
        <f>SPS1_SOC_Mid!H763</f>
        <v>147.2819083031282</v>
      </c>
      <c r="F4" s="1">
        <f>SPS1_SOC_Mid!I763</f>
        <v>144.69018135229624</v>
      </c>
      <c r="G4" s="1">
        <f>SPS1_SOC_Mid!J763</f>
        <v>141.89243415394847</v>
      </c>
      <c r="H4" s="1">
        <f>SPS1_SOC_Mid!K763</f>
        <v>137.31637601076682</v>
      </c>
    </row>
    <row r="5" spans="2:8" x14ac:dyDescent="0.35">
      <c r="B5" s="25" t="s">
        <v>1728</v>
      </c>
      <c r="C5" s="1">
        <f>SPS1_SOC_Mid!F882</f>
        <v>140.1011161858485</v>
      </c>
      <c r="D5" s="1">
        <f>SPS1_SOC_Mid!G882</f>
        <v>139.62165103524626</v>
      </c>
      <c r="E5" s="1">
        <f>SPS1_SOC_Mid!H882</f>
        <v>132.90645307515027</v>
      </c>
      <c r="F5" s="1">
        <f>SPS1_SOC_Mid!I882</f>
        <v>121.43806258000376</v>
      </c>
      <c r="G5" s="1">
        <f>SPS1_SOC_Mid!J882</f>
        <v>117.21110270257081</v>
      </c>
      <c r="H5" s="1">
        <f>SPS1_SOC_Mid!K882</f>
        <v>114.7257976870704</v>
      </c>
    </row>
    <row r="6" spans="2:8" x14ac:dyDescent="0.35">
      <c r="B6" s="25" t="s">
        <v>1729</v>
      </c>
      <c r="C6" s="1">
        <f>SPS1_SOC_Mid!F972</f>
        <v>219.89598865025798</v>
      </c>
      <c r="D6" s="1">
        <f>SPS1_SOC_Mid!G972</f>
        <v>217.90797142594965</v>
      </c>
      <c r="E6" s="1">
        <f>SPS1_SOC_Mid!H972</f>
        <v>219.9141550977904</v>
      </c>
      <c r="F6" s="1">
        <f>SPS1_SOC_Mid!I972</f>
        <v>200.5803524655754</v>
      </c>
      <c r="G6" s="1">
        <f>SPS1_SOC_Mid!J972</f>
        <v>198.06366610965352</v>
      </c>
      <c r="H6" s="1">
        <f>SPS1_SOC_Mid!K972</f>
        <v>191.10526311654786</v>
      </c>
    </row>
    <row r="7" spans="2:8" x14ac:dyDescent="0.35">
      <c r="B7" s="25" t="s">
        <v>1730</v>
      </c>
      <c r="C7" s="1">
        <f>SPS1_SOC_Mid!F1136+SPS1_SOC_Mid!F1315+SPS1_SOC_Mid!F1399+SPS1_SOC_Mid!F1483+SPS1_SOC_Mid!F1490+SPS1_SOC_Mid!F1497+SPS1_SOC_Mid!F1546+SPS1_SOC_Mid!F1593+SPS1_SOC_Mid!F1640</f>
        <v>213.85971519010013</v>
      </c>
      <c r="D7" s="1">
        <f>SPS1_SOC_Mid!G1136+SPS1_SOC_Mid!G1315+SPS1_SOC_Mid!G1399+SPS1_SOC_Mid!G1483+SPS1_SOC_Mid!G1490+SPS1_SOC_Mid!G1497+SPS1_SOC_Mid!G1546+SPS1_SOC_Mid!G1593+SPS1_SOC_Mid!G1640</f>
        <v>204.420781649753</v>
      </c>
      <c r="E7" s="1">
        <f>SPS1_SOC_Mid!H1136+SPS1_SOC_Mid!H1315+SPS1_SOC_Mid!H1399+SPS1_SOC_Mid!H1483+SPS1_SOC_Mid!H1490+SPS1_SOC_Mid!H1497+SPS1_SOC_Mid!H1546+SPS1_SOC_Mid!H1593+SPS1_SOC_Mid!H1640</f>
        <v>188.74278093642951</v>
      </c>
      <c r="F7" s="1">
        <f>SPS1_SOC_Mid!I1136+SPS1_SOC_Mid!I1315+SPS1_SOC_Mid!I1399+SPS1_SOC_Mid!I1483+SPS1_SOC_Mid!I1490+SPS1_SOC_Mid!I1497+SPS1_SOC_Mid!I1546+SPS1_SOC_Mid!I1593+SPS1_SOC_Mid!I1640</f>
        <v>146.56453846292547</v>
      </c>
      <c r="G7" s="1">
        <f>SPS1_SOC_Mid!J1136+SPS1_SOC_Mid!J1315+SPS1_SOC_Mid!J1399+SPS1_SOC_Mid!J1483+SPS1_SOC_Mid!J1490+SPS1_SOC_Mid!J1497+SPS1_SOC_Mid!J1546+SPS1_SOC_Mid!J1593+SPS1_SOC_Mid!J1640</f>
        <v>116.90514542082938</v>
      </c>
      <c r="H7" s="1">
        <f>SPS1_SOC_Mid!K1136+SPS1_SOC_Mid!K1315+SPS1_SOC_Mid!K1399+SPS1_SOC_Mid!K1483+SPS1_SOC_Mid!K1490+SPS1_SOC_Mid!K1497+SPS1_SOC_Mid!K1546+SPS1_SOC_Mid!K1593+SPS1_SOC_Mid!K1640</f>
        <v>101.91500719985032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510.34157765694783</v>
      </c>
      <c r="H8" s="3">
        <f t="shared" si="1"/>
        <v>481.02145726109688</v>
      </c>
    </row>
    <row r="9" spans="2:8" x14ac:dyDescent="0.35">
      <c r="B9" s="25" t="s">
        <v>1732</v>
      </c>
      <c r="C9" s="1">
        <f>SPS1_SOC_Mid!F291+SPS1_SOC_Mid!F409</f>
        <v>493.53799289215908</v>
      </c>
      <c r="D9" s="1">
        <f>SPS1_SOC_Mid!G291+SPS1_SOC_Mid!G409</f>
        <v>472.8687449659804</v>
      </c>
      <c r="E9" s="1">
        <f>SPS1_SOC_Mid!H291+SPS1_SOC_Mid!H409</f>
        <v>477.70736214531388</v>
      </c>
      <c r="F9" s="1">
        <f>SPS1_SOC_Mid!I291+SPS1_SOC_Mid!I409</f>
        <v>498.93478173917157</v>
      </c>
      <c r="G9" s="1">
        <f>SPS1_SOC_Mid!J291+SPS1_SOC_Mid!J409</f>
        <v>472.89699808232592</v>
      </c>
      <c r="H9" s="1">
        <f>SPS1_SOC_Mid!K291+SPS1_SOC_Mid!K409</f>
        <v>442.46553364012772</v>
      </c>
    </row>
    <row r="10" spans="2:8" x14ac:dyDescent="0.35">
      <c r="B10" s="25" t="s">
        <v>1733</v>
      </c>
      <c r="C10" s="1">
        <f>SPS1_SOC_Mid!F590+SPS1_SOC_Mid!F604+SPS1_SOC_Mid!F644</f>
        <v>16.174351057730199</v>
      </c>
      <c r="D10" s="1">
        <f>SPS1_SOC_Mid!G590+SPS1_SOC_Mid!G604+SPS1_SOC_Mid!G644</f>
        <v>22.091160273937451</v>
      </c>
      <c r="E10" s="1">
        <f>SPS1_SOC_Mid!H590+SPS1_SOC_Mid!H604+SPS1_SOC_Mid!H644</f>
        <v>25.149853463866869</v>
      </c>
      <c r="F10" s="1">
        <f>SPS1_SOC_Mid!I590+SPS1_SOC_Mid!I604+SPS1_SOC_Mid!I644</f>
        <v>24.442028578802368</v>
      </c>
      <c r="G10" s="1">
        <f>SPS1_SOC_Mid!J590+SPS1_SOC_Mid!J604+SPS1_SOC_Mid!J644</f>
        <v>25.85111262406237</v>
      </c>
      <c r="H10" s="1">
        <f>SPS1_SOC_Mid!K590+SPS1_SOC_Mid!K604+SPS1_SOC_Mid!K644</f>
        <v>27.299182481437398</v>
      </c>
    </row>
    <row r="11" spans="2:8" x14ac:dyDescent="0.35">
      <c r="B11" s="25" t="s">
        <v>1731</v>
      </c>
      <c r="C11" s="1">
        <f>SPS1_SOC_Mid!F679</f>
        <v>5.059399005572186E-3</v>
      </c>
      <c r="D11" s="1">
        <f>SPS1_SOC_Mid!G679</f>
        <v>7.9483470452268758E-3</v>
      </c>
      <c r="E11" s="1">
        <f>SPS1_SOC_Mid!H679</f>
        <v>7.8176785236874751E-3</v>
      </c>
      <c r="F11" s="1">
        <f>SPS1_SOC_Mid!I679</f>
        <v>0.13784878065100681</v>
      </c>
      <c r="G11" s="1">
        <f>SPS1_SOC_Mid!J679</f>
        <v>11.593466950559588</v>
      </c>
      <c r="H11" s="1">
        <f>SPS1_SOC_Mid!K679</f>
        <v>11.25673806202199</v>
      </c>
    </row>
    <row r="12" spans="2:8" x14ac:dyDescent="0.35">
      <c r="B12" s="25" t="s">
        <v>1734</v>
      </c>
      <c r="C12" s="1">
        <f>SPS1_SOC_Mid!F1707</f>
        <v>0</v>
      </c>
      <c r="D12" s="1">
        <f>SPS1_SOC_Mid!G1707</f>
        <v>0</v>
      </c>
      <c r="E12" s="1">
        <f>SPS1_SOC_Mid!H1707</f>
        <v>0</v>
      </c>
      <c r="F12" s="1">
        <f>SPS1_SOC_Mid!I1707</f>
        <v>0</v>
      </c>
      <c r="G12" s="1">
        <f>SPS1_SOC_Mid!J1707</f>
        <v>0</v>
      </c>
      <c r="H12" s="1">
        <f>SPS1_SOC_Mid!K1707</f>
        <v>3.0775097300199469E-6</v>
      </c>
    </row>
    <row r="13" spans="2:8" x14ac:dyDescent="0.35">
      <c r="B13" s="2" t="s">
        <v>1736</v>
      </c>
      <c r="C13" s="3">
        <f>SPS1_SOC_Mid!F2+SPS1_SOC_Mid!F20-SPS1_SOC_Mid!F57</f>
        <v>962.56289010301975</v>
      </c>
      <c r="D13" s="3">
        <f>SPS1_SOC_Mid!G2+SPS1_SOC_Mid!G20-SPS1_SOC_Mid!G57</f>
        <v>957.97353764459444</v>
      </c>
      <c r="E13" s="3">
        <f>SPS1_SOC_Mid!H2+SPS1_SOC_Mid!H20-SPS1_SOC_Mid!H57</f>
        <v>907.77864857264046</v>
      </c>
      <c r="F13" s="3">
        <f>SPS1_SOC_Mid!I2+SPS1_SOC_Mid!I20-SPS1_SOC_Mid!I57</f>
        <v>835.25478364357184</v>
      </c>
      <c r="G13" s="3">
        <f>SPS1_SOC_Mid!J2+SPS1_SOC_Mid!J20-SPS1_SOC_Mid!J57</f>
        <v>781.92106370814588</v>
      </c>
      <c r="H13" s="3">
        <f>SPS1_SOC_Mid!K2+SPS1_SOC_Mid!K20-SPS1_SOC_Mid!K57</f>
        <v>720.81150770151339</v>
      </c>
    </row>
    <row r="14" spans="2:8" x14ac:dyDescent="0.35">
      <c r="B14" s="25" t="s">
        <v>1737</v>
      </c>
      <c r="C14" s="1">
        <f>SPS1_SOC_Mid!F2</f>
        <v>300.18608525871826</v>
      </c>
      <c r="D14" s="1">
        <f>SPS1_SOC_Mid!G2</f>
        <v>292.84408447543996</v>
      </c>
      <c r="E14" s="1">
        <f>SPS1_SOC_Mid!H2</f>
        <v>331.72196475187877</v>
      </c>
      <c r="F14" s="1">
        <f>SPS1_SOC_Mid!I2</f>
        <v>399.67808396302235</v>
      </c>
      <c r="G14" s="1">
        <f>SPS1_SOC_Mid!J2</f>
        <v>430.27524108383705</v>
      </c>
      <c r="H14" s="1">
        <f>SPS1_SOC_Mid!K2</f>
        <v>482.66317319358012</v>
      </c>
    </row>
    <row r="15" spans="2:8" x14ac:dyDescent="0.35">
      <c r="B15" s="25" t="s">
        <v>19</v>
      </c>
      <c r="C15" s="1">
        <f>SPS1_SOC_Mid!F20</f>
        <v>779.54681520796476</v>
      </c>
      <c r="D15" s="1">
        <f>SPS1_SOC_Mid!G20</f>
        <v>700.24613260430942</v>
      </c>
      <c r="E15" s="1">
        <f>SPS1_SOC_Mid!H20</f>
        <v>648.99723440871526</v>
      </c>
      <c r="F15" s="1">
        <f>SPS1_SOC_Mid!I20</f>
        <v>505.13175264019856</v>
      </c>
      <c r="G15" s="1">
        <f>SPS1_SOC_Mid!J20</f>
        <v>386.84636647307889</v>
      </c>
      <c r="H15" s="1">
        <f>SPS1_SOC_Mid!K20</f>
        <v>260.7687432869248</v>
      </c>
    </row>
    <row r="16" spans="2:8" x14ac:dyDescent="0.35">
      <c r="B16" s="25" t="s">
        <v>24</v>
      </c>
      <c r="C16" s="1">
        <f>SPS1_SOC_Mid!F57</f>
        <v>117.17001036366335</v>
      </c>
      <c r="D16" s="1">
        <f>SPS1_SOC_Mid!G57</f>
        <v>35.116679435155007</v>
      </c>
      <c r="E16" s="1">
        <f>SPS1_SOC_Mid!H57</f>
        <v>72.940550587953538</v>
      </c>
      <c r="F16" s="1">
        <f>SPS1_SOC_Mid!I57</f>
        <v>69.555052959649089</v>
      </c>
      <c r="G16" s="1">
        <f>SPS1_SOC_Mid!J57</f>
        <v>35.200543848770074</v>
      </c>
      <c r="H16" s="1">
        <f>SPS1_SOC_Mid!K57</f>
        <v>22.620408778991578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BD937279-8F34-40AA-AB1C-7BAD8CCA06E9}"/>
</file>

<file path=customXml/itemProps2.xml><?xml version="1.0" encoding="utf-8"?>
<ds:datastoreItem xmlns:ds="http://schemas.openxmlformats.org/officeDocument/2006/customXml" ds:itemID="{60CE14C3-1412-44EE-A21B-0E83B10D434D}"/>
</file>

<file path=customXml/itemProps3.xml><?xml version="1.0" encoding="utf-8"?>
<ds:datastoreItem xmlns:ds="http://schemas.openxmlformats.org/officeDocument/2006/customXml" ds:itemID="{1803855E-EBCD-4725-B74A-D965A5F6084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SPS1_SOC_Mid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0x010100E43C8C03ABD37349B85E16C79D0BC86D</vt:lpwstr>
  </property>
</Properties>
</file>